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.BUHGALTERIA2\Desktop\Галиева\2020\ПФХД 2020\"/>
    </mc:Choice>
  </mc:AlternateContent>
  <bookViews>
    <workbookView xWindow="0" yWindow="0" windowWidth="20730" windowHeight="11760" tabRatio="932" activeTab="9"/>
  </bookViews>
  <sheets>
    <sheet name="Титул лист" sheetId="21" r:id="rId1"/>
    <sheet name="Раздел 1" sheetId="66" r:id="rId2"/>
    <sheet name="Раздел 2" sheetId="67" r:id="rId3"/>
    <sheet name="расш МЗ 2020" sheetId="46" r:id="rId4"/>
    <sheet name="расш МЗ 2021" sheetId="70" r:id="rId5"/>
    <sheet name="расш МЗ 2022" sheetId="71" r:id="rId6"/>
    <sheet name="расш иные 2020" sheetId="47" r:id="rId7"/>
    <sheet name="расш иные 2021" sheetId="72" r:id="rId8"/>
    <sheet name="расш иные 2022" sheetId="73" r:id="rId9"/>
    <sheet name="расш ПДД 2020" sheetId="64" r:id="rId10"/>
    <sheet name="МЗ 2017 (3)" sheetId="30" state="hidden" r:id="rId11"/>
    <sheet name="расш ПДД 2021" sheetId="68" r:id="rId12"/>
    <sheet name="расш ПДД 2022" sheetId="69" r:id="rId13"/>
  </sheets>
  <definedNames>
    <definedName name="_xlnm.Print_Area" localSheetId="10">'МЗ 2017 (3)'!$A$1:$J$324</definedName>
    <definedName name="_xlnm.Print_Area" localSheetId="1">'Раздел 1'!$A$1:$H$94</definedName>
    <definedName name="_xlnm.Print_Area" localSheetId="2">'Раздел 2'!$A$1:$H$46</definedName>
    <definedName name="_xlnm.Print_Area" localSheetId="6">'расш иные 2020'!$A$1:$J$237</definedName>
    <definedName name="_xlnm.Print_Area" localSheetId="7">'расш иные 2021'!$A$1:$J$240</definedName>
    <definedName name="_xlnm.Print_Area" localSheetId="8">'расш иные 2022'!$A$1:$J$240</definedName>
    <definedName name="_xlnm.Print_Area" localSheetId="3">'расш МЗ 2020'!$A$1:$J$252</definedName>
    <definedName name="_xlnm.Print_Area" localSheetId="4">'расш МЗ 2021'!$A$1:$J$253</definedName>
    <definedName name="_xlnm.Print_Area" localSheetId="5">'расш МЗ 2022'!$A$1:$J$253</definedName>
    <definedName name="_xlnm.Print_Area" localSheetId="9">'расш ПДД 2020'!$A$1:$J$245</definedName>
    <definedName name="_xlnm.Print_Area" localSheetId="11">'расш ПДД 2021'!$A$1:$J$246</definedName>
    <definedName name="_xlnm.Print_Area" localSheetId="12">'расш ПДД 2022'!$A$1:$J$235</definedName>
    <definedName name="_xlnm.Print_Area" localSheetId="0">'Титул лист'!$A$1:$N$46</definedName>
  </definedNames>
  <calcPr calcId="162913"/>
</workbook>
</file>

<file path=xl/calcChain.xml><?xml version="1.0" encoding="utf-8"?>
<calcChain xmlns="http://schemas.openxmlformats.org/spreadsheetml/2006/main">
  <c r="J198" i="64" l="1"/>
  <c r="E28" i="67" l="1"/>
  <c r="E15" i="67"/>
  <c r="G19" i="67" l="1"/>
  <c r="F19" i="67"/>
  <c r="E19" i="67"/>
  <c r="G79" i="66"/>
  <c r="G25" i="66"/>
  <c r="F25" i="66"/>
  <c r="E25" i="66"/>
  <c r="J237" i="71" l="1"/>
  <c r="J236" i="71"/>
  <c r="G238" i="71" s="1"/>
  <c r="J235" i="71"/>
  <c r="I227" i="71"/>
  <c r="I212" i="71"/>
  <c r="I208" i="71"/>
  <c r="J202" i="71"/>
  <c r="J201" i="71"/>
  <c r="J200" i="71"/>
  <c r="J199" i="71"/>
  <c r="J198" i="71"/>
  <c r="J197" i="71"/>
  <c r="J196" i="71"/>
  <c r="G203" i="71" s="1"/>
  <c r="J195" i="71"/>
  <c r="J194" i="71"/>
  <c r="J193" i="71"/>
  <c r="J192" i="71"/>
  <c r="J186" i="71"/>
  <c r="J185" i="71"/>
  <c r="J184" i="71"/>
  <c r="J183" i="71"/>
  <c r="J182" i="71"/>
  <c r="J181" i="71"/>
  <c r="J180" i="71"/>
  <c r="G187" i="71" s="1"/>
  <c r="J179" i="71"/>
  <c r="J178" i="71"/>
  <c r="J177" i="71"/>
  <c r="I165" i="71"/>
  <c r="I164" i="71"/>
  <c r="I163" i="71" s="1"/>
  <c r="H163" i="71"/>
  <c r="E163" i="71"/>
  <c r="I160" i="71"/>
  <c r="H160" i="71"/>
  <c r="E160" i="71"/>
  <c r="I157" i="71"/>
  <c r="H157" i="71"/>
  <c r="E157" i="71"/>
  <c r="I156" i="71"/>
  <c r="I155" i="71"/>
  <c r="I154" i="71"/>
  <c r="H154" i="71"/>
  <c r="E154" i="71"/>
  <c r="I149" i="71"/>
  <c r="I150" i="71" s="1"/>
  <c r="I143" i="71"/>
  <c r="I139" i="71" s="1"/>
  <c r="I144" i="71" s="1"/>
  <c r="I142" i="71"/>
  <c r="I141" i="71"/>
  <c r="I140" i="71"/>
  <c r="I117" i="71"/>
  <c r="I118" i="71" s="1"/>
  <c r="I116" i="71"/>
  <c r="I115" i="71"/>
  <c r="I114" i="71"/>
  <c r="I108" i="71"/>
  <c r="L96" i="71"/>
  <c r="G95" i="71"/>
  <c r="I95" i="71" s="1"/>
  <c r="G94" i="71"/>
  <c r="I94" i="71" s="1"/>
  <c r="G91" i="71"/>
  <c r="I91" i="71" s="1"/>
  <c r="G90" i="71"/>
  <c r="I90" i="71" s="1"/>
  <c r="I84" i="71" s="1"/>
  <c r="G88" i="71"/>
  <c r="I88" i="71" s="1"/>
  <c r="I85" i="71" s="1"/>
  <c r="I87" i="71"/>
  <c r="G87" i="71"/>
  <c r="I81" i="71"/>
  <c r="I78" i="71" s="1"/>
  <c r="I80" i="71"/>
  <c r="I77" i="71" s="1"/>
  <c r="I72" i="71"/>
  <c r="I73" i="71" s="1"/>
  <c r="I65" i="71"/>
  <c r="I68" i="71" s="1"/>
  <c r="E65" i="71"/>
  <c r="I63" i="71"/>
  <c r="I57" i="71"/>
  <c r="J53" i="71"/>
  <c r="D53" i="71"/>
  <c r="C53" i="71"/>
  <c r="C52" i="71"/>
  <c r="C58" i="71" s="1"/>
  <c r="J49" i="71"/>
  <c r="C47" i="71"/>
  <c r="J46" i="71"/>
  <c r="G46" i="71"/>
  <c r="D46" i="71"/>
  <c r="G45" i="71"/>
  <c r="D45" i="71"/>
  <c r="J45" i="71" s="1"/>
  <c r="J44" i="71"/>
  <c r="G44" i="71"/>
  <c r="D44" i="71"/>
  <c r="G43" i="71"/>
  <c r="D43" i="71"/>
  <c r="J43" i="71" s="1"/>
  <c r="J42" i="71"/>
  <c r="G42" i="71"/>
  <c r="D42" i="71"/>
  <c r="G41" i="71"/>
  <c r="D41" i="71"/>
  <c r="D47" i="71" s="1"/>
  <c r="J40" i="71"/>
  <c r="G40" i="71"/>
  <c r="D40" i="71"/>
  <c r="C38" i="71"/>
  <c r="J37" i="71"/>
  <c r="G37" i="71"/>
  <c r="D37" i="71"/>
  <c r="G36" i="71"/>
  <c r="D36" i="71"/>
  <c r="J36" i="71" s="1"/>
  <c r="J38" i="71" s="1"/>
  <c r="C34" i="71"/>
  <c r="G33" i="71"/>
  <c r="D33" i="71"/>
  <c r="J33" i="71" s="1"/>
  <c r="J32" i="71"/>
  <c r="G32" i="71"/>
  <c r="D32" i="71"/>
  <c r="G31" i="71"/>
  <c r="D31" i="71"/>
  <c r="J31" i="71" s="1"/>
  <c r="J30" i="71"/>
  <c r="G30" i="71"/>
  <c r="D30" i="71"/>
  <c r="G29" i="71"/>
  <c r="D29" i="71"/>
  <c r="J29" i="71" s="1"/>
  <c r="J28" i="71"/>
  <c r="G28" i="71"/>
  <c r="D28" i="71"/>
  <c r="G27" i="71"/>
  <c r="D27" i="71"/>
  <c r="J27" i="71" s="1"/>
  <c r="J26" i="71"/>
  <c r="G26" i="71"/>
  <c r="D26" i="71"/>
  <c r="G25" i="71"/>
  <c r="D25" i="71"/>
  <c r="J25" i="71" s="1"/>
  <c r="J24" i="71"/>
  <c r="G24" i="71"/>
  <c r="D24" i="71"/>
  <c r="G23" i="71"/>
  <c r="D23" i="71"/>
  <c r="J23" i="71" s="1"/>
  <c r="J22" i="71"/>
  <c r="G22" i="71"/>
  <c r="D22" i="71"/>
  <c r="G21" i="71"/>
  <c r="D21" i="71"/>
  <c r="J21" i="71" s="1"/>
  <c r="J20" i="71"/>
  <c r="G20" i="71"/>
  <c r="D20" i="71"/>
  <c r="D34" i="71" s="1"/>
  <c r="C18" i="71"/>
  <c r="J17" i="71"/>
  <c r="D17" i="71"/>
  <c r="D16" i="71"/>
  <c r="J16" i="71" s="1"/>
  <c r="D15" i="71"/>
  <c r="J15" i="71" s="1"/>
  <c r="J18" i="71" s="1"/>
  <c r="J237" i="70"/>
  <c r="J236" i="70"/>
  <c r="J235" i="70"/>
  <c r="G238" i="70" s="1"/>
  <c r="I80" i="70"/>
  <c r="J34" i="71" l="1"/>
  <c r="I167" i="71"/>
  <c r="I96" i="71"/>
  <c r="I97" i="71"/>
  <c r="J243" i="71" s="1"/>
  <c r="D18" i="71"/>
  <c r="D38" i="71"/>
  <c r="J41" i="71"/>
  <c r="J47" i="71" s="1"/>
  <c r="J48" i="71" l="1"/>
  <c r="D52" i="71"/>
  <c r="D58" i="71" s="1"/>
  <c r="J52" i="71"/>
  <c r="I98" i="71"/>
  <c r="J58" i="71" l="1"/>
  <c r="I242" i="71"/>
  <c r="I240" i="71" s="1"/>
  <c r="L96" i="70" l="1"/>
  <c r="J49" i="70"/>
  <c r="I227" i="70"/>
  <c r="I212" i="70"/>
  <c r="I208" i="70"/>
  <c r="J202" i="70"/>
  <c r="J201" i="70"/>
  <c r="J200" i="70"/>
  <c r="J199" i="70"/>
  <c r="J198" i="70"/>
  <c r="J197" i="70"/>
  <c r="J196" i="70"/>
  <c r="J195" i="70"/>
  <c r="J194" i="70"/>
  <c r="J193" i="70"/>
  <c r="J192" i="70"/>
  <c r="J186" i="70"/>
  <c r="J185" i="70"/>
  <c r="J184" i="70"/>
  <c r="J183" i="70"/>
  <c r="J182" i="70"/>
  <c r="J181" i="70"/>
  <c r="J180" i="70"/>
  <c r="J179" i="70"/>
  <c r="J178" i="70"/>
  <c r="J177" i="70"/>
  <c r="I165" i="70"/>
  <c r="I164" i="70"/>
  <c r="I163" i="70" s="1"/>
  <c r="H163" i="70"/>
  <c r="E163" i="70"/>
  <c r="I160" i="70"/>
  <c r="H160" i="70"/>
  <c r="E160" i="70"/>
  <c r="I157" i="70"/>
  <c r="H157" i="70"/>
  <c r="E157" i="70"/>
  <c r="I156" i="70"/>
  <c r="I155" i="70"/>
  <c r="I154" i="70" s="1"/>
  <c r="H154" i="70"/>
  <c r="E154" i="70"/>
  <c r="I149" i="70"/>
  <c r="I150" i="70" s="1"/>
  <c r="I143" i="70"/>
  <c r="I142" i="70"/>
  <c r="I141" i="70"/>
  <c r="I140" i="70"/>
  <c r="I117" i="70"/>
  <c r="I116" i="70"/>
  <c r="I115" i="70"/>
  <c r="I114" i="70"/>
  <c r="I108" i="70"/>
  <c r="I95" i="70"/>
  <c r="G95" i="70"/>
  <c r="G94" i="70"/>
  <c r="I94" i="70" s="1"/>
  <c r="G91" i="70"/>
  <c r="I91" i="70" s="1"/>
  <c r="G90" i="70"/>
  <c r="I90" i="70" s="1"/>
  <c r="G88" i="70"/>
  <c r="I88" i="70" s="1"/>
  <c r="G87" i="70"/>
  <c r="I87" i="70" s="1"/>
  <c r="I81" i="70"/>
  <c r="I77" i="70"/>
  <c r="I78" i="70"/>
  <c r="I72" i="70"/>
  <c r="I73" i="70" s="1"/>
  <c r="E65" i="70"/>
  <c r="I65" i="70" s="1"/>
  <c r="I63" i="70"/>
  <c r="I57" i="70"/>
  <c r="J53" i="70"/>
  <c r="D53" i="70"/>
  <c r="C53" i="70"/>
  <c r="C47" i="70"/>
  <c r="G46" i="70"/>
  <c r="D46" i="70"/>
  <c r="J46" i="70" s="1"/>
  <c r="G45" i="70"/>
  <c r="D45" i="70" s="1"/>
  <c r="J45" i="70" s="1"/>
  <c r="G44" i="70"/>
  <c r="D44" i="70"/>
  <c r="J44" i="70" s="1"/>
  <c r="G43" i="70"/>
  <c r="D43" i="70" s="1"/>
  <c r="J43" i="70" s="1"/>
  <c r="G42" i="70"/>
  <c r="D42" i="70"/>
  <c r="J42" i="70" s="1"/>
  <c r="G41" i="70"/>
  <c r="D41" i="70" s="1"/>
  <c r="J41" i="70" s="1"/>
  <c r="G40" i="70"/>
  <c r="D40" i="70"/>
  <c r="C38" i="70"/>
  <c r="G37" i="70"/>
  <c r="D37" i="70"/>
  <c r="J37" i="70" s="1"/>
  <c r="G36" i="70"/>
  <c r="D36" i="70" s="1"/>
  <c r="C34" i="70"/>
  <c r="G33" i="70"/>
  <c r="D33" i="70" s="1"/>
  <c r="J33" i="70" s="1"/>
  <c r="G32" i="70"/>
  <c r="D32" i="70" s="1"/>
  <c r="J32" i="70" s="1"/>
  <c r="G31" i="70"/>
  <c r="D31" i="70" s="1"/>
  <c r="J31" i="70" s="1"/>
  <c r="G30" i="70"/>
  <c r="D30" i="70" s="1"/>
  <c r="J30" i="70" s="1"/>
  <c r="G29" i="70"/>
  <c r="D29" i="70" s="1"/>
  <c r="J29" i="70" s="1"/>
  <c r="G28" i="70"/>
  <c r="D28" i="70" s="1"/>
  <c r="J28" i="70" s="1"/>
  <c r="G27" i="70"/>
  <c r="D27" i="70" s="1"/>
  <c r="J27" i="70" s="1"/>
  <c r="G26" i="70"/>
  <c r="D26" i="70" s="1"/>
  <c r="J26" i="70" s="1"/>
  <c r="G25" i="70"/>
  <c r="D25" i="70" s="1"/>
  <c r="J25" i="70" s="1"/>
  <c r="G24" i="70"/>
  <c r="D24" i="70" s="1"/>
  <c r="J24" i="70" s="1"/>
  <c r="G23" i="70"/>
  <c r="D23" i="70" s="1"/>
  <c r="J23" i="70" s="1"/>
  <c r="G22" i="70"/>
  <c r="D22" i="70" s="1"/>
  <c r="J22" i="70" s="1"/>
  <c r="G21" i="70"/>
  <c r="D21" i="70" s="1"/>
  <c r="J21" i="70" s="1"/>
  <c r="G20" i="70"/>
  <c r="D20" i="70" s="1"/>
  <c r="J20" i="70" s="1"/>
  <c r="C18" i="70"/>
  <c r="D17" i="70"/>
  <c r="J17" i="70" s="1"/>
  <c r="D16" i="70"/>
  <c r="D15" i="70"/>
  <c r="J15" i="70" s="1"/>
  <c r="I167" i="70" l="1"/>
  <c r="G187" i="70"/>
  <c r="D18" i="70"/>
  <c r="C52" i="70"/>
  <c r="C58" i="70" s="1"/>
  <c r="I139" i="70"/>
  <c r="I144" i="70" s="1"/>
  <c r="I118" i="70"/>
  <c r="G203" i="70"/>
  <c r="I68" i="70"/>
  <c r="I84" i="70"/>
  <c r="I96" i="70" s="1"/>
  <c r="J36" i="70"/>
  <c r="J38" i="70" s="1"/>
  <c r="D38" i="70"/>
  <c r="J34" i="70"/>
  <c r="D47" i="70"/>
  <c r="I85" i="70"/>
  <c r="I97" i="70" s="1"/>
  <c r="D34" i="70"/>
  <c r="J40" i="70"/>
  <c r="J47" i="70" s="1"/>
  <c r="J16" i="70"/>
  <c r="J18" i="70" s="1"/>
  <c r="E31" i="67"/>
  <c r="J220" i="73"/>
  <c r="G223" i="73" s="1"/>
  <c r="I211" i="73"/>
  <c r="I215" i="73" s="1"/>
  <c r="I207" i="73"/>
  <c r="I203" i="73"/>
  <c r="I198" i="73"/>
  <c r="I197" i="73" s="1"/>
  <c r="I193" i="73"/>
  <c r="I192" i="73"/>
  <c r="I191" i="73"/>
  <c r="I190" i="73"/>
  <c r="I189" i="73"/>
  <c r="I188" i="73"/>
  <c r="I186" i="73"/>
  <c r="I185" i="73"/>
  <c r="I184" i="73"/>
  <c r="I183" i="73"/>
  <c r="I182" i="73"/>
  <c r="I181" i="73"/>
  <c r="I180" i="73"/>
  <c r="I179" i="73"/>
  <c r="I178" i="73"/>
  <c r="I177" i="73"/>
  <c r="I176" i="73"/>
  <c r="I170" i="73"/>
  <c r="I169" i="73"/>
  <c r="I168" i="73"/>
  <c r="I167" i="73"/>
  <c r="I166" i="73"/>
  <c r="I165" i="73"/>
  <c r="I164" i="73"/>
  <c r="I163" i="73"/>
  <c r="I162" i="73"/>
  <c r="I161" i="73"/>
  <c r="I160" i="73"/>
  <c r="I158" i="73"/>
  <c r="I157" i="73"/>
  <c r="I156" i="73"/>
  <c r="I155" i="73"/>
  <c r="I154" i="73"/>
  <c r="I153" i="73"/>
  <c r="I152" i="73"/>
  <c r="I151" i="73"/>
  <c r="I150" i="73"/>
  <c r="I149" i="73"/>
  <c r="I148" i="73"/>
  <c r="I142" i="73"/>
  <c r="I141" i="73" s="1"/>
  <c r="I140" i="73"/>
  <c r="I139" i="73" s="1"/>
  <c r="I143" i="73" s="1"/>
  <c r="I133" i="73"/>
  <c r="I132" i="73"/>
  <c r="I130" i="73"/>
  <c r="I129" i="73" s="1"/>
  <c r="I128" i="73"/>
  <c r="I127" i="73" s="1"/>
  <c r="G122" i="73"/>
  <c r="G120" i="73"/>
  <c r="L116" i="73"/>
  <c r="I113" i="73"/>
  <c r="I112" i="73"/>
  <c r="I111" i="73"/>
  <c r="I110" i="73"/>
  <c r="I108" i="73"/>
  <c r="G107" i="73"/>
  <c r="I107" i="73" s="1"/>
  <c r="G106" i="73"/>
  <c r="I106" i="73" s="1"/>
  <c r="I104" i="73"/>
  <c r="I103" i="73" s="1"/>
  <c r="G96" i="73"/>
  <c r="I86" i="73"/>
  <c r="I92" i="73" s="1"/>
  <c r="F86" i="73"/>
  <c r="G50" i="73"/>
  <c r="I50" i="73" s="1"/>
  <c r="G48" i="73"/>
  <c r="I48" i="73" s="1"/>
  <c r="G43" i="73"/>
  <c r="G53" i="73" s="1"/>
  <c r="I53" i="73" s="1"/>
  <c r="I33" i="73"/>
  <c r="I31" i="73"/>
  <c r="J25" i="73"/>
  <c r="D25" i="73"/>
  <c r="C25" i="73"/>
  <c r="J24" i="73"/>
  <c r="D22" i="73"/>
  <c r="C22" i="73"/>
  <c r="J21" i="73"/>
  <c r="J22" i="73" s="1"/>
  <c r="C19" i="73"/>
  <c r="J18" i="73"/>
  <c r="J19" i="73" s="1"/>
  <c r="D15" i="73"/>
  <c r="C15" i="73"/>
  <c r="J14" i="73"/>
  <c r="J15" i="73" s="1"/>
  <c r="J220" i="72"/>
  <c r="G223" i="72" s="1"/>
  <c r="I211" i="72"/>
  <c r="I215" i="72" s="1"/>
  <c r="I207" i="72"/>
  <c r="I203" i="72" s="1"/>
  <c r="I198" i="72"/>
  <c r="I197" i="72" s="1"/>
  <c r="I196" i="72"/>
  <c r="I195" i="72"/>
  <c r="I193" i="72"/>
  <c r="I192" i="72"/>
  <c r="I191" i="72"/>
  <c r="I190" i="72"/>
  <c r="I189" i="72"/>
  <c r="I188" i="72"/>
  <c r="I187" i="72" s="1"/>
  <c r="I186" i="72"/>
  <c r="I185" i="72"/>
  <c r="I184" i="72" s="1"/>
  <c r="I183" i="72"/>
  <c r="I182" i="72"/>
  <c r="I181" i="72"/>
  <c r="I180" i="72"/>
  <c r="I179" i="72"/>
  <c r="I178" i="72"/>
  <c r="I177" i="72"/>
  <c r="I176" i="72"/>
  <c r="I170" i="72"/>
  <c r="I169" i="72"/>
  <c r="I168" i="72"/>
  <c r="I167" i="72"/>
  <c r="I166" i="72"/>
  <c r="I165" i="72"/>
  <c r="I164" i="72"/>
  <c r="I163" i="72"/>
  <c r="I162" i="72"/>
  <c r="I161" i="72"/>
  <c r="I160" i="72"/>
  <c r="I158" i="72"/>
  <c r="I157" i="72"/>
  <c r="I156" i="72"/>
  <c r="I155" i="72"/>
  <c r="I154" i="72"/>
  <c r="I153" i="72"/>
  <c r="I152" i="72"/>
  <c r="I151" i="72"/>
  <c r="I150" i="72"/>
  <c r="I149" i="72"/>
  <c r="I148" i="72"/>
  <c r="I142" i="72"/>
  <c r="I141" i="72" s="1"/>
  <c r="I140" i="72"/>
  <c r="I139" i="72" s="1"/>
  <c r="I133" i="72"/>
  <c r="I132" i="72"/>
  <c r="I130" i="72"/>
  <c r="I129" i="72" s="1"/>
  <c r="I128" i="72"/>
  <c r="I127" i="72" s="1"/>
  <c r="G122" i="72"/>
  <c r="G120" i="72" s="1"/>
  <c r="L116" i="72"/>
  <c r="I113" i="72"/>
  <c r="I112" i="72"/>
  <c r="I111" i="72"/>
  <c r="I110" i="72"/>
  <c r="I108" i="72"/>
  <c r="G107" i="72"/>
  <c r="I107" i="72" s="1"/>
  <c r="G106" i="72"/>
  <c r="I106" i="72" s="1"/>
  <c r="I104" i="72"/>
  <c r="I103" i="72" s="1"/>
  <c r="G96" i="72"/>
  <c r="I86" i="72"/>
  <c r="I92" i="72" s="1"/>
  <c r="F86" i="72"/>
  <c r="G43" i="72"/>
  <c r="G50" i="72" s="1"/>
  <c r="I50" i="72" s="1"/>
  <c r="I33" i="72"/>
  <c r="I31" i="72"/>
  <c r="D25" i="72"/>
  <c r="C25" i="72"/>
  <c r="J24" i="72"/>
  <c r="J25" i="72" s="1"/>
  <c r="D22" i="72"/>
  <c r="C22" i="72"/>
  <c r="J21" i="72"/>
  <c r="J22" i="72" s="1"/>
  <c r="C19" i="72"/>
  <c r="J18" i="72"/>
  <c r="J19" i="72" s="1"/>
  <c r="D15" i="72"/>
  <c r="C15" i="72"/>
  <c r="J14" i="72"/>
  <c r="J15" i="72" s="1"/>
  <c r="I199" i="47"/>
  <c r="I198" i="47" s="1"/>
  <c r="I197" i="47"/>
  <c r="I196" i="47"/>
  <c r="I195" i="47" s="1"/>
  <c r="I194" i="47"/>
  <c r="I193" i="47"/>
  <c r="I192" i="47"/>
  <c r="I191" i="47"/>
  <c r="I190" i="47"/>
  <c r="I189" i="47"/>
  <c r="I187" i="47"/>
  <c r="I186" i="47"/>
  <c r="I184" i="47"/>
  <c r="I183" i="47"/>
  <c r="I182" i="47"/>
  <c r="I181" i="47"/>
  <c r="I180" i="47"/>
  <c r="I179" i="47"/>
  <c r="I178" i="47"/>
  <c r="I177" i="47"/>
  <c r="I171" i="47"/>
  <c r="I170" i="47"/>
  <c r="I169" i="47"/>
  <c r="I168" i="47"/>
  <c r="I167" i="47"/>
  <c r="I166" i="47"/>
  <c r="I165" i="47"/>
  <c r="I164" i="47"/>
  <c r="I163" i="47"/>
  <c r="I162" i="47"/>
  <c r="I161" i="47"/>
  <c r="I159" i="47"/>
  <c r="I158" i="47"/>
  <c r="I157" i="47"/>
  <c r="I156" i="47"/>
  <c r="I155" i="47"/>
  <c r="I154" i="47"/>
  <c r="I153" i="47"/>
  <c r="I152" i="47"/>
  <c r="I151" i="47"/>
  <c r="I150" i="47"/>
  <c r="I149" i="47"/>
  <c r="I143" i="47"/>
  <c r="I142" i="47" s="1"/>
  <c r="I141" i="47"/>
  <c r="I140" i="47" s="1"/>
  <c r="J223" i="69"/>
  <c r="J222" i="69"/>
  <c r="J221" i="69"/>
  <c r="I213" i="69"/>
  <c r="I216" i="69" s="1"/>
  <c r="I205" i="69"/>
  <c r="I207" i="69" s="1"/>
  <c r="J194" i="69"/>
  <c r="I193" i="69"/>
  <c r="J193" i="69" s="1"/>
  <c r="J192" i="69"/>
  <c r="J191" i="69"/>
  <c r="J190" i="69"/>
  <c r="J189" i="69"/>
  <c r="J188" i="69"/>
  <c r="J187" i="69"/>
  <c r="J186" i="69"/>
  <c r="J185" i="69"/>
  <c r="J184" i="69"/>
  <c r="J183" i="69"/>
  <c r="J182" i="69"/>
  <c r="J181" i="69"/>
  <c r="J175" i="69"/>
  <c r="J174" i="69"/>
  <c r="J173" i="69"/>
  <c r="J172" i="69"/>
  <c r="J171" i="69"/>
  <c r="J170" i="69"/>
  <c r="J169" i="69"/>
  <c r="J168" i="69"/>
  <c r="J167" i="69"/>
  <c r="J166" i="69"/>
  <c r="J165" i="69"/>
  <c r="E154" i="69"/>
  <c r="I153" i="69"/>
  <c r="I152" i="69" s="1"/>
  <c r="I156" i="69" s="1"/>
  <c r="E152" i="69"/>
  <c r="I147" i="69"/>
  <c r="I146" i="69"/>
  <c r="H145" i="69"/>
  <c r="E145" i="69"/>
  <c r="I144" i="69"/>
  <c r="I143" i="69"/>
  <c r="H142" i="69"/>
  <c r="E142" i="69"/>
  <c r="I141" i="69"/>
  <c r="I140" i="69"/>
  <c r="H139" i="69"/>
  <c r="E139" i="69"/>
  <c r="I138" i="69"/>
  <c r="I137" i="69"/>
  <c r="H136" i="69"/>
  <c r="E136" i="69"/>
  <c r="I131" i="69"/>
  <c r="I132" i="69" s="1"/>
  <c r="I125" i="69"/>
  <c r="I124" i="69"/>
  <c r="I123" i="69"/>
  <c r="G85" i="69"/>
  <c r="I85" i="69" s="1"/>
  <c r="G84" i="69"/>
  <c r="I84" i="69" s="1"/>
  <c r="G81" i="69"/>
  <c r="I81" i="69" s="1"/>
  <c r="G80" i="69"/>
  <c r="I80" i="69" s="1"/>
  <c r="G78" i="69"/>
  <c r="I78" i="69" s="1"/>
  <c r="G77" i="69"/>
  <c r="I77" i="69" s="1"/>
  <c r="I74" i="69" s="1"/>
  <c r="I71" i="69"/>
  <c r="I68" i="69" s="1"/>
  <c r="I70" i="69"/>
  <c r="I67" i="69" s="1"/>
  <c r="I62" i="69"/>
  <c r="I63" i="69" s="1"/>
  <c r="I57" i="69"/>
  <c r="I56" i="69"/>
  <c r="I54" i="69"/>
  <c r="I52" i="69"/>
  <c r="I45" i="69"/>
  <c r="I44" i="69"/>
  <c r="C40" i="69"/>
  <c r="C47" i="69" s="1"/>
  <c r="G37" i="69"/>
  <c r="D37" i="69" s="1"/>
  <c r="D40" i="69" s="1"/>
  <c r="D47" i="69" s="1"/>
  <c r="C32" i="69"/>
  <c r="G31" i="69"/>
  <c r="D31" i="69" s="1"/>
  <c r="J31" i="69" s="1"/>
  <c r="G30" i="69"/>
  <c r="D30" i="69" s="1"/>
  <c r="J30" i="69" s="1"/>
  <c r="G29" i="69"/>
  <c r="D29" i="69" s="1"/>
  <c r="C27" i="69"/>
  <c r="G26" i="69"/>
  <c r="D26" i="69" s="1"/>
  <c r="C24" i="69"/>
  <c r="G23" i="69"/>
  <c r="D23" i="69" s="1"/>
  <c r="J23" i="69" s="1"/>
  <c r="G22" i="69"/>
  <c r="D22" i="69" s="1"/>
  <c r="J22" i="69" s="1"/>
  <c r="G21" i="69"/>
  <c r="D21" i="69" s="1"/>
  <c r="J21" i="69" s="1"/>
  <c r="G20" i="69"/>
  <c r="D20" i="69" s="1"/>
  <c r="J20" i="69" s="1"/>
  <c r="G19" i="69"/>
  <c r="D19" i="69" s="1"/>
  <c r="J19" i="69" s="1"/>
  <c r="G18" i="69"/>
  <c r="D18" i="69"/>
  <c r="C16" i="69"/>
  <c r="D15" i="69"/>
  <c r="D16" i="69" s="1"/>
  <c r="J230" i="68"/>
  <c r="J229" i="68"/>
  <c r="J228" i="68"/>
  <c r="G231" i="68" s="1"/>
  <c r="I220" i="68"/>
  <c r="I223" i="68" s="1"/>
  <c r="I212" i="68"/>
  <c r="I214" i="68" s="1"/>
  <c r="I207" i="68"/>
  <c r="J200" i="68"/>
  <c r="I199" i="68"/>
  <c r="J199" i="68" s="1"/>
  <c r="J198" i="68"/>
  <c r="J197" i="68"/>
  <c r="J196" i="68"/>
  <c r="J195" i="68"/>
  <c r="J194" i="68"/>
  <c r="J193" i="68"/>
  <c r="J192" i="68"/>
  <c r="J191" i="68"/>
  <c r="J190" i="68"/>
  <c r="J189" i="68"/>
  <c r="J188" i="68"/>
  <c r="J187" i="68"/>
  <c r="G201" i="68" s="1"/>
  <c r="J181" i="68"/>
  <c r="J180" i="68"/>
  <c r="J179" i="68"/>
  <c r="J178" i="68"/>
  <c r="J177" i="68"/>
  <c r="J176" i="68"/>
  <c r="J175" i="68"/>
  <c r="J174" i="68"/>
  <c r="J173" i="68"/>
  <c r="J172" i="68"/>
  <c r="J171" i="68"/>
  <c r="E159" i="68"/>
  <c r="I158" i="68"/>
  <c r="I157" i="68" s="1"/>
  <c r="I161" i="68" s="1"/>
  <c r="E157" i="68"/>
  <c r="I152" i="68"/>
  <c r="I151" i="68"/>
  <c r="H150" i="68"/>
  <c r="E150" i="68"/>
  <c r="I149" i="68"/>
  <c r="I148" i="68"/>
  <c r="I147" i="68" s="1"/>
  <c r="H147" i="68"/>
  <c r="E147" i="68"/>
  <c r="I146" i="68"/>
  <c r="I145" i="68"/>
  <c r="K145" i="68" s="1"/>
  <c r="H144" i="68"/>
  <c r="E144" i="68"/>
  <c r="I143" i="68"/>
  <c r="I142" i="68"/>
  <c r="H141" i="68"/>
  <c r="E141" i="68"/>
  <c r="I136" i="68"/>
  <c r="I137" i="68" s="1"/>
  <c r="I130" i="68"/>
  <c r="I129" i="68"/>
  <c r="I127" i="68" s="1"/>
  <c r="I131" i="68" s="1"/>
  <c r="I128" i="68"/>
  <c r="I105" i="68"/>
  <c r="I104" i="68"/>
  <c r="I98" i="68"/>
  <c r="G85" i="68"/>
  <c r="I85" i="68" s="1"/>
  <c r="G84" i="68"/>
  <c r="I84" i="68" s="1"/>
  <c r="G81" i="68"/>
  <c r="I81" i="68" s="1"/>
  <c r="G80" i="68"/>
  <c r="I80" i="68" s="1"/>
  <c r="G78" i="68"/>
  <c r="I78" i="68" s="1"/>
  <c r="G77" i="68"/>
  <c r="I77" i="68" s="1"/>
  <c r="I71" i="68"/>
  <c r="I68" i="68" s="1"/>
  <c r="I70" i="68"/>
  <c r="I67" i="68" s="1"/>
  <c r="I62" i="68"/>
  <c r="I63" i="68" s="1"/>
  <c r="I57" i="68"/>
  <c r="I56" i="68"/>
  <c r="I54" i="68"/>
  <c r="I52" i="68"/>
  <c r="I45" i="68"/>
  <c r="I44" i="68"/>
  <c r="C40" i="68"/>
  <c r="C47" i="68" s="1"/>
  <c r="G37" i="68"/>
  <c r="D37" i="68" s="1"/>
  <c r="C32" i="68"/>
  <c r="G31" i="68"/>
  <c r="D31" i="68" s="1"/>
  <c r="J31" i="68" s="1"/>
  <c r="G30" i="68"/>
  <c r="D30" i="68" s="1"/>
  <c r="J30" i="68" s="1"/>
  <c r="G29" i="68"/>
  <c r="D29" i="68"/>
  <c r="C27" i="68"/>
  <c r="G26" i="68"/>
  <c r="D26" i="68" s="1"/>
  <c r="J26" i="68" s="1"/>
  <c r="J27" i="68" s="1"/>
  <c r="C24" i="68"/>
  <c r="G23" i="68"/>
  <c r="D23" i="68" s="1"/>
  <c r="J23" i="68" s="1"/>
  <c r="G22" i="68"/>
  <c r="D22" i="68" s="1"/>
  <c r="J22" i="68" s="1"/>
  <c r="G21" i="68"/>
  <c r="D21" i="68" s="1"/>
  <c r="J21" i="68" s="1"/>
  <c r="G20" i="68"/>
  <c r="D20" i="68" s="1"/>
  <c r="J20" i="68" s="1"/>
  <c r="G19" i="68"/>
  <c r="D19" i="68"/>
  <c r="J19" i="68" s="1"/>
  <c r="G18" i="68"/>
  <c r="D18" i="68" s="1"/>
  <c r="C16" i="68"/>
  <c r="C39" i="68" s="1"/>
  <c r="C46" i="68" s="1"/>
  <c r="D15" i="68"/>
  <c r="J15" i="68" s="1"/>
  <c r="J16" i="68" s="1"/>
  <c r="I214" i="64"/>
  <c r="I215" i="64"/>
  <c r="I217" i="64" s="1"/>
  <c r="J203" i="64"/>
  <c r="I202" i="64"/>
  <c r="J202" i="64" s="1"/>
  <c r="J201" i="64"/>
  <c r="J200" i="64"/>
  <c r="J199" i="64"/>
  <c r="J197" i="64"/>
  <c r="J196" i="64"/>
  <c r="J195" i="64"/>
  <c r="J194" i="64"/>
  <c r="J193" i="64"/>
  <c r="J192" i="64"/>
  <c r="J191" i="64"/>
  <c r="J190" i="64"/>
  <c r="J189" i="64"/>
  <c r="J188" i="64"/>
  <c r="J187" i="64"/>
  <c r="J181" i="64"/>
  <c r="J180" i="64"/>
  <c r="J179" i="64"/>
  <c r="J178" i="64"/>
  <c r="J177" i="64"/>
  <c r="J176" i="64"/>
  <c r="J175" i="64"/>
  <c r="J174" i="64"/>
  <c r="J173" i="64"/>
  <c r="J172" i="64"/>
  <c r="J171" i="64"/>
  <c r="J228" i="73" l="1"/>
  <c r="I136" i="69"/>
  <c r="I145" i="69"/>
  <c r="I75" i="69"/>
  <c r="G224" i="69"/>
  <c r="G196" i="69"/>
  <c r="D52" i="70"/>
  <c r="D58" i="70" s="1"/>
  <c r="J243" i="70"/>
  <c r="I98" i="70"/>
  <c r="J48" i="70"/>
  <c r="J52" i="70" s="1"/>
  <c r="I242" i="70" s="1"/>
  <c r="I74" i="68"/>
  <c r="I75" i="68"/>
  <c r="I144" i="68"/>
  <c r="I160" i="68" s="1"/>
  <c r="I211" i="68"/>
  <c r="J15" i="69"/>
  <c r="J16" i="69" s="1"/>
  <c r="I139" i="69"/>
  <c r="I185" i="47"/>
  <c r="I147" i="72"/>
  <c r="I43" i="73"/>
  <c r="I41" i="73" s="1"/>
  <c r="I109" i="73"/>
  <c r="I159" i="73"/>
  <c r="I141" i="68"/>
  <c r="I122" i="69"/>
  <c r="I126" i="69" s="1"/>
  <c r="G195" i="69"/>
  <c r="C26" i="73"/>
  <c r="I147" i="73"/>
  <c r="I171" i="73" s="1"/>
  <c r="C39" i="69"/>
  <c r="C46" i="69" s="1"/>
  <c r="I58" i="69"/>
  <c r="I86" i="69"/>
  <c r="G176" i="69"/>
  <c r="C26" i="72"/>
  <c r="I131" i="73"/>
  <c r="I134" i="73" s="1"/>
  <c r="I126" i="73" s="1"/>
  <c r="G205" i="64"/>
  <c r="I87" i="69"/>
  <c r="I142" i="69"/>
  <c r="I155" i="69" s="1"/>
  <c r="I188" i="47"/>
  <c r="I187" i="73"/>
  <c r="I175" i="73"/>
  <c r="I46" i="73"/>
  <c r="I105" i="73"/>
  <c r="G116" i="73" s="1"/>
  <c r="G102" i="73" s="1"/>
  <c r="I199" i="73"/>
  <c r="G53" i="72"/>
  <c r="I53" i="72" s="1"/>
  <c r="I43" i="72"/>
  <c r="I41" i="72" s="1"/>
  <c r="I143" i="72"/>
  <c r="I175" i="72"/>
  <c r="J227" i="72" s="1"/>
  <c r="J225" i="72" s="1"/>
  <c r="G48" i="72"/>
  <c r="I48" i="72" s="1"/>
  <c r="I46" i="72" s="1"/>
  <c r="I109" i="72"/>
  <c r="I131" i="72"/>
  <c r="I134" i="72" s="1"/>
  <c r="I126" i="72" s="1"/>
  <c r="I159" i="72"/>
  <c r="I171" i="72" s="1"/>
  <c r="I194" i="72"/>
  <c r="J228" i="72" s="1"/>
  <c r="I105" i="72"/>
  <c r="I176" i="47"/>
  <c r="I160" i="47"/>
  <c r="I148" i="47"/>
  <c r="I144" i="47"/>
  <c r="J26" i="69"/>
  <c r="J27" i="69" s="1"/>
  <c r="D27" i="69"/>
  <c r="D24" i="69"/>
  <c r="D32" i="69"/>
  <c r="J29" i="69"/>
  <c r="J32" i="69" s="1"/>
  <c r="K140" i="69"/>
  <c r="I204" i="69"/>
  <c r="J37" i="69"/>
  <c r="J18" i="69"/>
  <c r="J24" i="69" s="1"/>
  <c r="I150" i="68"/>
  <c r="G202" i="68"/>
  <c r="I58" i="68"/>
  <c r="G182" i="68"/>
  <c r="D40" i="68"/>
  <c r="D47" i="68" s="1"/>
  <c r="J37" i="68"/>
  <c r="D24" i="68"/>
  <c r="J18" i="68"/>
  <c r="J24" i="68" s="1"/>
  <c r="J33" i="68" s="1"/>
  <c r="I86" i="68"/>
  <c r="D32" i="68"/>
  <c r="I87" i="68"/>
  <c r="D27" i="68"/>
  <c r="D16" i="68"/>
  <c r="J29" i="68"/>
  <c r="J32" i="68" s="1"/>
  <c r="G182" i="64"/>
  <c r="G204" i="64"/>
  <c r="I88" i="69" l="1"/>
  <c r="J33" i="69"/>
  <c r="J58" i="70"/>
  <c r="I240" i="70"/>
  <c r="D39" i="69"/>
  <c r="D46" i="69" s="1"/>
  <c r="I200" i="47"/>
  <c r="J227" i="73"/>
  <c r="J225" i="73" s="1"/>
  <c r="I199" i="72"/>
  <c r="G116" i="72"/>
  <c r="G102" i="72" s="1"/>
  <c r="I172" i="47"/>
  <c r="J39" i="69"/>
  <c r="J46" i="69" s="1"/>
  <c r="I228" i="69" s="1"/>
  <c r="J38" i="69"/>
  <c r="J40" i="69" s="1"/>
  <c r="J47" i="69" s="1"/>
  <c r="J229" i="69" s="1"/>
  <c r="J39" i="68"/>
  <c r="J46" i="68" s="1"/>
  <c r="I235" i="68" s="1"/>
  <c r="J38" i="68"/>
  <c r="J40" i="68" s="1"/>
  <c r="J47" i="68" s="1"/>
  <c r="J236" i="68" s="1"/>
  <c r="D39" i="68"/>
  <c r="D46" i="68" s="1"/>
  <c r="I88" i="68"/>
  <c r="I226" i="69" l="1"/>
  <c r="I233" i="68"/>
  <c r="E159" i="64" l="1"/>
  <c r="I158" i="64"/>
  <c r="I157" i="64" s="1"/>
  <c r="I161" i="64" s="1"/>
  <c r="E157" i="64"/>
  <c r="I152" i="64"/>
  <c r="I151" i="64"/>
  <c r="I149" i="64"/>
  <c r="I148" i="64"/>
  <c r="I146" i="64"/>
  <c r="I145" i="64"/>
  <c r="K145" i="64" s="1"/>
  <c r="I142" i="64"/>
  <c r="I141" i="64" s="1"/>
  <c r="I143" i="64"/>
  <c r="I128" i="64"/>
  <c r="I105" i="64"/>
  <c r="I70" i="64"/>
  <c r="I71" i="64"/>
  <c r="I68" i="64" s="1"/>
  <c r="I62" i="64"/>
  <c r="I63" i="64" s="1"/>
  <c r="I57" i="64"/>
  <c r="I56" i="64"/>
  <c r="I45" i="64"/>
  <c r="I54" i="64"/>
  <c r="C40" i="64"/>
  <c r="C47" i="64" s="1"/>
  <c r="G37" i="64"/>
  <c r="D37" i="64" s="1"/>
  <c r="J37" i="64" s="1"/>
  <c r="J38" i="64" s="1"/>
  <c r="J40" i="64" s="1"/>
  <c r="J47" i="64" s="1"/>
  <c r="G232" i="64"/>
  <c r="I223" i="64"/>
  <c r="I226" i="64" s="1"/>
  <c r="I210" i="64"/>
  <c r="H150" i="64"/>
  <c r="E150" i="64"/>
  <c r="H147" i="64"/>
  <c r="E147" i="64"/>
  <c r="H144" i="64"/>
  <c r="E144" i="64"/>
  <c r="H141" i="64"/>
  <c r="E141" i="64"/>
  <c r="I136" i="64"/>
  <c r="I137" i="64" s="1"/>
  <c r="I130" i="64"/>
  <c r="I129" i="64"/>
  <c r="I104" i="64"/>
  <c r="I98" i="64"/>
  <c r="G85" i="64"/>
  <c r="I85" i="64" s="1"/>
  <c r="G84" i="64"/>
  <c r="I84" i="64" s="1"/>
  <c r="G81" i="64"/>
  <c r="I81" i="64" s="1"/>
  <c r="G80" i="64"/>
  <c r="I80" i="64" s="1"/>
  <c r="G78" i="64"/>
  <c r="I78" i="64" s="1"/>
  <c r="G77" i="64"/>
  <c r="I77" i="64" s="1"/>
  <c r="I67" i="64"/>
  <c r="I52" i="64"/>
  <c r="I44" i="64"/>
  <c r="C32" i="64"/>
  <c r="G31" i="64"/>
  <c r="D31" i="64" s="1"/>
  <c r="J31" i="64" s="1"/>
  <c r="G30" i="64"/>
  <c r="D30" i="64" s="1"/>
  <c r="J30" i="64" s="1"/>
  <c r="G29" i="64"/>
  <c r="D29" i="64" s="1"/>
  <c r="C27" i="64"/>
  <c r="G26" i="64"/>
  <c r="D26" i="64" s="1"/>
  <c r="C24" i="64"/>
  <c r="G23" i="64"/>
  <c r="D23" i="64" s="1"/>
  <c r="J23" i="64" s="1"/>
  <c r="G22" i="64"/>
  <c r="D22" i="64" s="1"/>
  <c r="J22" i="64" s="1"/>
  <c r="G21" i="64"/>
  <c r="D21" i="64" s="1"/>
  <c r="J21" i="64" s="1"/>
  <c r="G20" i="64"/>
  <c r="D20" i="64" s="1"/>
  <c r="J20" i="64" s="1"/>
  <c r="G19" i="64"/>
  <c r="D19" i="64" s="1"/>
  <c r="J19" i="64" s="1"/>
  <c r="G18" i="64"/>
  <c r="D18" i="64" s="1"/>
  <c r="C16" i="64"/>
  <c r="D15" i="64"/>
  <c r="J15" i="64" s="1"/>
  <c r="I144" i="64" l="1"/>
  <c r="I127" i="64"/>
  <c r="D40" i="64"/>
  <c r="D47" i="64" s="1"/>
  <c r="I147" i="64"/>
  <c r="I58" i="64"/>
  <c r="I74" i="64"/>
  <c r="I86" i="64" s="1"/>
  <c r="D16" i="64"/>
  <c r="I150" i="64"/>
  <c r="C39" i="64"/>
  <c r="C46" i="64" s="1"/>
  <c r="I131" i="64"/>
  <c r="D24" i="64"/>
  <c r="J18" i="64"/>
  <c r="J24" i="64" s="1"/>
  <c r="I75" i="64"/>
  <c r="I87" i="64" s="1"/>
  <c r="J237" i="64" s="1"/>
  <c r="D27" i="64"/>
  <c r="D32" i="64"/>
  <c r="J29" i="64"/>
  <c r="J32" i="64" s="1"/>
  <c r="J26" i="64"/>
  <c r="J27" i="64" s="1"/>
  <c r="J16" i="64"/>
  <c r="I134" i="47"/>
  <c r="I133" i="47"/>
  <c r="I131" i="47"/>
  <c r="I130" i="47" s="1"/>
  <c r="I129" i="47"/>
  <c r="I128" i="47" s="1"/>
  <c r="I31" i="47"/>
  <c r="I97" i="47"/>
  <c r="L117" i="47"/>
  <c r="I114" i="47"/>
  <c r="J227" i="47" s="1"/>
  <c r="I113" i="47"/>
  <c r="I112" i="47"/>
  <c r="I111" i="47"/>
  <c r="I109" i="47"/>
  <c r="G108" i="47"/>
  <c r="I108" i="47" s="1"/>
  <c r="G107" i="47"/>
  <c r="I107" i="47" s="1"/>
  <c r="I105" i="47"/>
  <c r="I104" i="47" s="1"/>
  <c r="I33" i="47"/>
  <c r="D15" i="47"/>
  <c r="I57" i="46"/>
  <c r="J53" i="46"/>
  <c r="C53" i="46"/>
  <c r="D53" i="46"/>
  <c r="I132" i="47" l="1"/>
  <c r="I135" i="47" s="1"/>
  <c r="I127" i="47" s="1"/>
  <c r="I160" i="64"/>
  <c r="J33" i="64"/>
  <c r="J39" i="64" s="1"/>
  <c r="J46" i="64" s="1"/>
  <c r="D39" i="64"/>
  <c r="D46" i="64" s="1"/>
  <c r="I88" i="64"/>
  <c r="I106" i="47"/>
  <c r="I110" i="47"/>
  <c r="J205" i="46"/>
  <c r="J204" i="46"/>
  <c r="J203" i="46"/>
  <c r="J202" i="46"/>
  <c r="J201" i="46"/>
  <c r="J200" i="46"/>
  <c r="J199" i="46"/>
  <c r="J198" i="46"/>
  <c r="J197" i="46"/>
  <c r="J196" i="46"/>
  <c r="J195" i="46"/>
  <c r="J194" i="46"/>
  <c r="J193" i="46"/>
  <c r="J192" i="46"/>
  <c r="J186" i="46"/>
  <c r="J185" i="46"/>
  <c r="J184" i="46"/>
  <c r="J183" i="46"/>
  <c r="J182" i="46"/>
  <c r="J181" i="46"/>
  <c r="J180" i="46"/>
  <c r="J179" i="46"/>
  <c r="J178" i="46"/>
  <c r="J177" i="46"/>
  <c r="I165" i="46"/>
  <c r="I164" i="46"/>
  <c r="I156" i="46"/>
  <c r="I155" i="46"/>
  <c r="I141" i="46"/>
  <c r="I142" i="46"/>
  <c r="I143" i="46"/>
  <c r="I140" i="46"/>
  <c r="I115" i="46"/>
  <c r="I114" i="46"/>
  <c r="I116" i="46"/>
  <c r="I117" i="46"/>
  <c r="I81" i="46"/>
  <c r="I80" i="46"/>
  <c r="I236" i="64" l="1"/>
  <c r="I234" i="64" s="1"/>
  <c r="G117" i="47"/>
  <c r="G103" i="47" s="1"/>
  <c r="G206" i="46"/>
  <c r="G187" i="46"/>
  <c r="I154" i="46"/>
  <c r="I78" i="46" l="1"/>
  <c r="I77" i="46"/>
  <c r="G95" i="46"/>
  <c r="I95" i="46"/>
  <c r="G91" i="46"/>
  <c r="I91" i="46"/>
  <c r="G88" i="46"/>
  <c r="I88" i="46" s="1"/>
  <c r="E65" i="46"/>
  <c r="I65" i="46" s="1"/>
  <c r="I72" i="46"/>
  <c r="G41" i="46"/>
  <c r="G42" i="46"/>
  <c r="G43" i="46"/>
  <c r="G44" i="46"/>
  <c r="G45" i="46"/>
  <c r="D45" i="46" s="1"/>
  <c r="J45" i="46" s="1"/>
  <c r="G46" i="46"/>
  <c r="D46" i="46" s="1"/>
  <c r="J46" i="46" s="1"/>
  <c r="G40" i="46"/>
  <c r="C47" i="46"/>
  <c r="I85" i="46" l="1"/>
  <c r="I97" i="46"/>
  <c r="J244" i="46" s="1"/>
  <c r="C34" i="46"/>
  <c r="G32" i="46"/>
  <c r="D32" i="46" s="1"/>
  <c r="J32" i="46" s="1"/>
  <c r="G33" i="46"/>
  <c r="D33" i="46" s="1"/>
  <c r="J33" i="46" s="1"/>
  <c r="F31" i="67" l="1"/>
  <c r="G31" i="67"/>
  <c r="F27" i="67"/>
  <c r="G27" i="67"/>
  <c r="E27" i="67"/>
  <c r="F23" i="67"/>
  <c r="G23" i="67"/>
  <c r="E23" i="67"/>
  <c r="F18" i="67"/>
  <c r="G18" i="67"/>
  <c r="E18" i="67"/>
  <c r="F13" i="67"/>
  <c r="G13" i="67"/>
  <c r="E13" i="67"/>
  <c r="G39" i="66"/>
  <c r="G41" i="66"/>
  <c r="F44" i="66"/>
  <c r="F41" i="66"/>
  <c r="F39" i="66"/>
  <c r="E39" i="66"/>
  <c r="E41" i="66"/>
  <c r="F14" i="66"/>
  <c r="G14" i="66"/>
  <c r="H14" i="66"/>
  <c r="E14" i="66"/>
  <c r="E12" i="67" l="1"/>
  <c r="E7" i="67"/>
  <c r="G12" i="67"/>
  <c r="G7" i="67" s="1"/>
  <c r="F12" i="67"/>
  <c r="F7" i="67" s="1"/>
  <c r="D15" i="46"/>
  <c r="J15" i="46" s="1"/>
  <c r="F90" i="66"/>
  <c r="G90" i="66"/>
  <c r="E90" i="66"/>
  <c r="F85" i="66"/>
  <c r="G85" i="66"/>
  <c r="E85" i="66"/>
  <c r="F81" i="66"/>
  <c r="F74" i="66" s="1"/>
  <c r="G81" i="66"/>
  <c r="G74" i="66" s="1"/>
  <c r="H81" i="66"/>
  <c r="E81" i="66"/>
  <c r="H74" i="66"/>
  <c r="E74" i="66"/>
  <c r="F67" i="66"/>
  <c r="G67" i="66"/>
  <c r="E67" i="66"/>
  <c r="E62" i="66"/>
  <c r="F62" i="66"/>
  <c r="G62" i="66"/>
  <c r="E53" i="66"/>
  <c r="F49" i="66"/>
  <c r="G49" i="66"/>
  <c r="E49" i="66"/>
  <c r="F43" i="66"/>
  <c r="F37" i="66" s="1"/>
  <c r="G43" i="66"/>
  <c r="G37" i="66" s="1"/>
  <c r="E43" i="66"/>
  <c r="E24" i="66"/>
  <c r="F24" i="66"/>
  <c r="G24" i="66"/>
  <c r="H24" i="66"/>
  <c r="E19" i="66"/>
  <c r="F19" i="66"/>
  <c r="F9" i="66" s="1"/>
  <c r="G19" i="66"/>
  <c r="H19" i="66"/>
  <c r="D19" i="66"/>
  <c r="B2" i="66"/>
  <c r="E9" i="66" l="1"/>
  <c r="G9" i="66"/>
  <c r="F36" i="66"/>
  <c r="E37" i="66"/>
  <c r="E36" i="66" s="1"/>
  <c r="H9" i="66"/>
  <c r="H8" i="66" s="1"/>
  <c r="F8" i="66"/>
  <c r="G36" i="66"/>
  <c r="G8" i="66" l="1"/>
  <c r="E8" i="66"/>
  <c r="G123" i="47"/>
  <c r="G121" i="47" s="1"/>
  <c r="I211" i="46" l="1"/>
  <c r="I215" i="46" l="1"/>
  <c r="I212" i="47" l="1"/>
  <c r="I216" i="47" s="1"/>
  <c r="J14" i="47"/>
  <c r="C15" i="47"/>
  <c r="J18" i="47"/>
  <c r="C19" i="47"/>
  <c r="J21" i="47"/>
  <c r="C22" i="47"/>
  <c r="D22" i="47"/>
  <c r="J24" i="47"/>
  <c r="C25" i="47"/>
  <c r="F86" i="47"/>
  <c r="I86" i="47"/>
  <c r="I92" i="47" s="1"/>
  <c r="G99" i="47"/>
  <c r="J226" i="47" s="1"/>
  <c r="J22" i="47" l="1"/>
  <c r="J19" i="47"/>
  <c r="J25" i="47"/>
  <c r="C26" i="47"/>
  <c r="J15" i="47"/>
  <c r="D25" i="47"/>
  <c r="G43" i="47" l="1"/>
  <c r="G48" i="47" s="1"/>
  <c r="I48" i="47" s="1"/>
  <c r="I43" i="47" l="1"/>
  <c r="I41" i="47" s="1"/>
  <c r="G50" i="47"/>
  <c r="I50" i="47" s="1"/>
  <c r="I46" i="47" s="1"/>
  <c r="G53" i="47"/>
  <c r="I53" i="47" s="1"/>
  <c r="I208" i="47" l="1"/>
  <c r="I204" i="47" s="1"/>
  <c r="I139" i="46" l="1"/>
  <c r="I144" i="46" s="1"/>
  <c r="I108" i="46" l="1"/>
  <c r="I73" i="46" l="1"/>
  <c r="I63" i="46"/>
  <c r="I68" i="46" l="1"/>
  <c r="I230" i="46"/>
  <c r="D44" i="46"/>
  <c r="J44" i="46" s="1"/>
  <c r="D42" i="46"/>
  <c r="J42" i="46" s="1"/>
  <c r="D41" i="46"/>
  <c r="J41" i="46" s="1"/>
  <c r="C38" i="46"/>
  <c r="G37" i="46"/>
  <c r="D37" i="46" s="1"/>
  <c r="J37" i="46" s="1"/>
  <c r="G36" i="46"/>
  <c r="D36" i="46" s="1"/>
  <c r="J36" i="46" s="1"/>
  <c r="G31" i="46"/>
  <c r="D31" i="46" s="1"/>
  <c r="J31" i="46" s="1"/>
  <c r="G30" i="46"/>
  <c r="D30" i="46" s="1"/>
  <c r="J30" i="46" s="1"/>
  <c r="G29" i="46"/>
  <c r="D29" i="46" s="1"/>
  <c r="J29" i="46" s="1"/>
  <c r="G28" i="46"/>
  <c r="D28" i="46" s="1"/>
  <c r="J28" i="46" s="1"/>
  <c r="G27" i="46"/>
  <c r="D27" i="46" s="1"/>
  <c r="J27" i="46" s="1"/>
  <c r="G26" i="46"/>
  <c r="D26" i="46" s="1"/>
  <c r="J26" i="46" s="1"/>
  <c r="G25" i="46"/>
  <c r="D25" i="46" s="1"/>
  <c r="J25" i="46" s="1"/>
  <c r="G24" i="46"/>
  <c r="D24" i="46" s="1"/>
  <c r="J24" i="46" s="1"/>
  <c r="G23" i="46"/>
  <c r="D23" i="46" s="1"/>
  <c r="J23" i="46" s="1"/>
  <c r="G22" i="46"/>
  <c r="D22" i="46" s="1"/>
  <c r="J22" i="46" s="1"/>
  <c r="G21" i="46"/>
  <c r="D21" i="46" s="1"/>
  <c r="J21" i="46" s="1"/>
  <c r="G20" i="46"/>
  <c r="D20" i="46" s="1"/>
  <c r="J20" i="46" s="1"/>
  <c r="C18" i="46"/>
  <c r="D17" i="46"/>
  <c r="J17" i="46" s="1"/>
  <c r="D16" i="46"/>
  <c r="J16" i="46" s="1"/>
  <c r="J34" i="46" l="1"/>
  <c r="D43" i="46"/>
  <c r="J43" i="46" s="1"/>
  <c r="D40" i="46"/>
  <c r="J40" i="46" s="1"/>
  <c r="J47" i="46" s="1"/>
  <c r="J38" i="46"/>
  <c r="C52" i="46"/>
  <c r="C58" i="46" s="1"/>
  <c r="J18" i="46"/>
  <c r="D34" i="46"/>
  <c r="D18" i="46"/>
  <c r="D38" i="46"/>
  <c r="J48" i="46" l="1"/>
  <c r="D47" i="46"/>
  <c r="G90" i="46"/>
  <c r="I90" i="46" s="1"/>
  <c r="J52" i="46" l="1"/>
  <c r="J58" i="46" s="1"/>
  <c r="D52" i="46"/>
  <c r="D58" i="46" s="1"/>
  <c r="G94" i="46"/>
  <c r="I94" i="46" s="1"/>
  <c r="G87" i="46"/>
  <c r="I87" i="46" s="1"/>
  <c r="I84" i="46" s="1"/>
  <c r="I96" i="46" l="1"/>
  <c r="I98" i="46" s="1"/>
  <c r="G222" i="47"/>
  <c r="G96" i="47"/>
  <c r="I118" i="46"/>
  <c r="H163" i="46"/>
  <c r="E163" i="46"/>
  <c r="H160" i="46"/>
  <c r="H157" i="46"/>
  <c r="E157" i="46"/>
  <c r="H154" i="46"/>
  <c r="E154" i="46"/>
  <c r="I149" i="46"/>
  <c r="I150" i="46" s="1"/>
  <c r="G239" i="46" l="1"/>
  <c r="I163" i="46"/>
  <c r="I157" i="46"/>
  <c r="E160" i="46"/>
  <c r="I160" i="46"/>
  <c r="I167" i="46" l="1"/>
  <c r="I243" i="46" s="1"/>
  <c r="I241" i="46" s="1"/>
  <c r="J224" i="47" l="1"/>
  <c r="I305" i="30" l="1"/>
  <c r="I307" i="30" s="1"/>
  <c r="I293" i="30"/>
  <c r="I285" i="30"/>
  <c r="I271" i="30"/>
  <c r="I269" i="30"/>
  <c r="J262" i="30"/>
  <c r="J261" i="30"/>
  <c r="I317" i="30" s="1"/>
  <c r="J260" i="30"/>
  <c r="I316" i="30" s="1"/>
  <c r="J259" i="30"/>
  <c r="J258" i="30"/>
  <c r="J257" i="30"/>
  <c r="J256" i="30"/>
  <c r="J255" i="30"/>
  <c r="J254" i="30"/>
  <c r="J253" i="30"/>
  <c r="J252" i="30"/>
  <c r="J251" i="30"/>
  <c r="J250" i="30"/>
  <c r="J249" i="30"/>
  <c r="J248" i="30"/>
  <c r="J247" i="30"/>
  <c r="J246" i="30"/>
  <c r="J245" i="30"/>
  <c r="J244" i="30"/>
  <c r="J243" i="30"/>
  <c r="J242" i="30"/>
  <c r="J234" i="30"/>
  <c r="J233" i="30"/>
  <c r="J232" i="30"/>
  <c r="J231" i="30"/>
  <c r="J230" i="30"/>
  <c r="J229" i="30"/>
  <c r="J228" i="30"/>
  <c r="J227" i="30"/>
  <c r="J226" i="30"/>
  <c r="J225" i="30"/>
  <c r="J224" i="30"/>
  <c r="J223" i="30"/>
  <c r="J222" i="30"/>
  <c r="J221" i="30"/>
  <c r="J220" i="30"/>
  <c r="J219" i="30"/>
  <c r="J218" i="30"/>
  <c r="J217" i="30"/>
  <c r="G200" i="30"/>
  <c r="I200" i="30" s="1"/>
  <c r="G199" i="30"/>
  <c r="I199" i="30" s="1"/>
  <c r="H198" i="30"/>
  <c r="E198" i="30"/>
  <c r="G197" i="30"/>
  <c r="E197" i="30"/>
  <c r="G196" i="30"/>
  <c r="E196" i="30"/>
  <c r="H195" i="30"/>
  <c r="G194" i="30"/>
  <c r="I194" i="30" s="1"/>
  <c r="G193" i="30"/>
  <c r="I193" i="30" s="1"/>
  <c r="H192" i="30"/>
  <c r="E192" i="30"/>
  <c r="G191" i="30"/>
  <c r="I191" i="30" s="1"/>
  <c r="G190" i="30"/>
  <c r="I190" i="30" s="1"/>
  <c r="H189" i="30"/>
  <c r="E189" i="30"/>
  <c r="G188" i="30"/>
  <c r="I188" i="30" s="1"/>
  <c r="G187" i="30"/>
  <c r="I187" i="30" s="1"/>
  <c r="H186" i="30"/>
  <c r="E186" i="30"/>
  <c r="I170" i="30"/>
  <c r="I169" i="30"/>
  <c r="I168" i="30"/>
  <c r="I167" i="30"/>
  <c r="I166" i="30"/>
  <c r="I165" i="30"/>
  <c r="I164" i="30"/>
  <c r="I124" i="30"/>
  <c r="I128" i="30" s="1"/>
  <c r="I99" i="30"/>
  <c r="I96" i="30"/>
  <c r="I94" i="30"/>
  <c r="I89" i="30"/>
  <c r="I87" i="30" s="1"/>
  <c r="I79" i="30"/>
  <c r="I81" i="30" s="1"/>
  <c r="I71" i="30"/>
  <c r="I70" i="30"/>
  <c r="I69" i="30"/>
  <c r="I68" i="30"/>
  <c r="I67" i="30"/>
  <c r="C57" i="30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C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D39" i="30" s="1"/>
  <c r="J39" i="30" s="1"/>
  <c r="G38" i="30"/>
  <c r="F38" i="30"/>
  <c r="G37" i="30"/>
  <c r="F37" i="30"/>
  <c r="C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C26" i="30"/>
  <c r="G25" i="30"/>
  <c r="F25" i="30"/>
  <c r="G24" i="30"/>
  <c r="F24" i="30"/>
  <c r="G23" i="30"/>
  <c r="F23" i="30"/>
  <c r="G22" i="30"/>
  <c r="F22" i="30"/>
  <c r="G21" i="30"/>
  <c r="F21" i="30"/>
  <c r="D47" i="30" l="1"/>
  <c r="J47" i="30" s="1"/>
  <c r="D21" i="30"/>
  <c r="J21" i="30" s="1"/>
  <c r="D25" i="30"/>
  <c r="J25" i="30" s="1"/>
  <c r="I189" i="30"/>
  <c r="I299" i="30"/>
  <c r="D24" i="30"/>
  <c r="J24" i="30" s="1"/>
  <c r="D37" i="30"/>
  <c r="J37" i="30" s="1"/>
  <c r="D46" i="30"/>
  <c r="J46" i="30" s="1"/>
  <c r="I66" i="30"/>
  <c r="I73" i="30" s="1"/>
  <c r="D38" i="30"/>
  <c r="J38" i="30" s="1"/>
  <c r="D40" i="30"/>
  <c r="J40" i="30" s="1"/>
  <c r="D44" i="30"/>
  <c r="J44" i="30" s="1"/>
  <c r="I92" i="30"/>
  <c r="I100" i="30" s="1"/>
  <c r="D43" i="30"/>
  <c r="J43" i="30" s="1"/>
  <c r="D45" i="30"/>
  <c r="J45" i="30" s="1"/>
  <c r="D50" i="30"/>
  <c r="J50" i="30" s="1"/>
  <c r="D52" i="30"/>
  <c r="J52" i="30" s="1"/>
  <c r="D54" i="30"/>
  <c r="J54" i="30" s="1"/>
  <c r="D56" i="30"/>
  <c r="J56" i="30" s="1"/>
  <c r="I197" i="30"/>
  <c r="I198" i="30"/>
  <c r="D29" i="30"/>
  <c r="J29" i="30" s="1"/>
  <c r="D31" i="30"/>
  <c r="J31" i="30" s="1"/>
  <c r="D33" i="30"/>
  <c r="J33" i="30" s="1"/>
  <c r="D22" i="30"/>
  <c r="J22" i="30" s="1"/>
  <c r="D41" i="30"/>
  <c r="J41" i="30" s="1"/>
  <c r="D23" i="30"/>
  <c r="J23" i="30" s="1"/>
  <c r="D28" i="30"/>
  <c r="J28" i="30" s="1"/>
  <c r="D30" i="30"/>
  <c r="J30" i="30" s="1"/>
  <c r="D32" i="30"/>
  <c r="J32" i="30" s="1"/>
  <c r="D34" i="30"/>
  <c r="J34" i="30" s="1"/>
  <c r="D42" i="30"/>
  <c r="J42" i="30" s="1"/>
  <c r="I279" i="30"/>
  <c r="G263" i="30"/>
  <c r="I172" i="30"/>
  <c r="E195" i="30"/>
  <c r="C58" i="30"/>
  <c r="D51" i="30"/>
  <c r="J51" i="30" s="1"/>
  <c r="D53" i="30"/>
  <c r="J53" i="30" s="1"/>
  <c r="D55" i="30"/>
  <c r="J55" i="30" s="1"/>
  <c r="I186" i="30"/>
  <c r="I196" i="30"/>
  <c r="G235" i="30"/>
  <c r="I192" i="30"/>
  <c r="J26" i="30" l="1"/>
  <c r="I195" i="30"/>
  <c r="J48" i="30"/>
  <c r="J57" i="30"/>
  <c r="I202" i="30"/>
  <c r="I314" i="30" s="1"/>
  <c r="J35" i="30"/>
  <c r="J58" i="30" l="1"/>
  <c r="J60" i="30" s="1"/>
  <c r="I315" i="30" s="1"/>
  <c r="I312" i="30" l="1"/>
</calcChain>
</file>

<file path=xl/sharedStrings.xml><?xml version="1.0" encoding="utf-8"?>
<sst xmlns="http://schemas.openxmlformats.org/spreadsheetml/2006/main" count="4806" uniqueCount="693">
  <si>
    <t>1. Расчеты (обоснования) выплат персоналу (строка 210)</t>
  </si>
  <si>
    <t>N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</si>
  <si>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</si>
  <si>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</si>
  <si>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</si>
  <si>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</si>
  <si>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</si>
  <si>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>Фонд оплаты труда в год, руб. (гр. 3 x гр. 4 x (1 + гр. 8 / 100) x 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</si>
  <si>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</si>
  <si>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</si>
  <si>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</si>
  <si>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</si>
  <si>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</si>
  <si>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</si>
  <si>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x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</si>
  <si>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</si>
  <si>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</si>
  <si>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</si>
  <si>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</si>
  <si>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Сумма, руб. (гр. 3 x гр. 4 x гр. 5)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</si>
  <si>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</si>
  <si>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</si>
  <si>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</si>
  <si>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</si>
  <si>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</si>
  <si>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</si>
  <si>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</si>
  <si>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1.1.</t>
  </si>
  <si>
    <t>по ставке 22,0%</t>
  </si>
  <si>
    <t>1.2.</t>
  </si>
  <si>
    <t>по ставке 10,0%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</si>
  <si>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</si>
  <si>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</si>
  <si>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</si>
  <si>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</si>
  <si>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2,9%</t>
  </si>
  <si>
    <t>2.2.</t>
  </si>
  <si>
    <t>с применением ставки взносов в Фонд социального страхования Российской Федерации по ставке 0,0%</t>
  </si>
  <si>
    <t>2.3.</t>
  </si>
  <si>
    <t>обязательное социальное страхование от несчастных случаев на производстве и профессиональных заболеваний по ставке 0,2%</t>
  </si>
  <si>
    <t>2.4.</t>
  </si>
  <si>
    <t>обязательное социальное страхование от несчастных случаев на производстве и профессиональных заболеваний по ставке 0,_% &lt;*&gt;</t>
  </si>
  <si>
    <t>2.5.</t>
  </si>
  <si>
    <t>Страховые взносы в Федеральный фонд обязательного медицинского страхования, всего (по ставке 5,1%)</t>
  </si>
  <si>
    <t>Наименование показателя</t>
  </si>
  <si>
    <t>Размер одной выплаты, руб.</t>
  </si>
  <si>
    <t>Количество выплат в год</t>
  </si>
  <si>
    <t>Налоговая база, руб.</t>
  </si>
  <si>
    <t>Ставка налога, %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</si>
  <si>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</si>
  <si>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</si>
  <si>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</si>
  <si>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</si>
  <si>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</si>
  <si>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</si>
  <si>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Размер потребления ресурсов</t>
  </si>
  <si>
    <t>Тариф (с учетом НДС), руб.</t>
  </si>
  <si>
    <t>Индексация, %</t>
  </si>
  <si>
    <t>Количество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</si>
  <si>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</si>
  <si>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</si>
  <si>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</si>
  <si>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</si>
  <si>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</si>
  <si>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</t>
  </si>
  <si>
    <t>Стоимость услуги, руб.</t>
  </si>
  <si>
    <t>Средняя стоимость, руб.</t>
  </si>
  <si>
    <t>Муниципальное бюджетное общеобразовательное учреждение гимназия имени Анатолия Иосифовича Яковлева</t>
  </si>
  <si>
    <t>Расчеты (обоснования) к плану финансово-хозяйственной деятельности муниципального учреждения</t>
  </si>
  <si>
    <t>Компенсация расходов на оплату стоимости проезда и провоза багажа к месту использования отпуска и обратно</t>
  </si>
  <si>
    <t>1.</t>
  </si>
  <si>
    <t>компенсация дополнительных расходов, связанных с проживанием вне места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</si>
  <si>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</si>
  <si>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</si>
  <si>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х</t>
  </si>
  <si>
    <t>2.</t>
  </si>
  <si>
    <t>Возмещение расходов на прохождение медицинского осмотра</t>
  </si>
  <si>
    <t>3.</t>
  </si>
  <si>
    <t>Возмещение работникам (сотрудникам) расходов,связанных со служебными командировками, в том числе</t>
  </si>
  <si>
    <t xml:space="preserve">Ежемесячные компенсационные выплаты находящимся в дополнительном отпуске по уходу за ребенком  до достижения им возраста 3 лет </t>
  </si>
  <si>
    <t xml:space="preserve">Код видов расходов </t>
  </si>
  <si>
    <t>Источник финансового обеспечения</t>
  </si>
  <si>
    <t>местный бюджет</t>
  </si>
  <si>
    <t>Субсидия на финансовое обеспечение выполнения муниципального задания на оказание муниципальных услуг (выполнение работ)</t>
  </si>
  <si>
    <t>2. Расчеты (обоснования) расходов на социальные и иные выплаты населению</t>
  </si>
  <si>
    <t>4. Расчет (обоснование) расходов на безвозмездные перечисления организациям</t>
  </si>
  <si>
    <t>4.</t>
  </si>
  <si>
    <t>5.</t>
  </si>
  <si>
    <t>КВР 851</t>
  </si>
  <si>
    <t>КВР 852</t>
  </si>
  <si>
    <t>КВР 853</t>
  </si>
  <si>
    <t>5. Расчет (обоснование) прочих расходов (кроме расходов на закупку товаров, работ, услуг)</t>
  </si>
  <si>
    <t>Абонентская плата за номер</t>
  </si>
  <si>
    <t>Предоставление местных телефонных соединений</t>
  </si>
  <si>
    <t xml:space="preserve">3. </t>
  </si>
  <si>
    <t>Предоставление междугородних телефонных соединений автоматическим способом</t>
  </si>
  <si>
    <t>Абонентское обслуживание в системе электронного документооборота (Контур-Экстерн)</t>
  </si>
  <si>
    <t>6.</t>
  </si>
  <si>
    <t>Бронирование сетевых ресурсов, необходимых для осуществления для присоединения к сети общего пользования (услуги хостинга для официального сайта учреждения)</t>
  </si>
  <si>
    <t>Бронирование сетевых ресурсов, необходимых для осуществления для присоединения к сети общего пользования (продление регистрации доменов для официального сайта учреждения)</t>
  </si>
  <si>
    <t>1 полугодие</t>
  </si>
  <si>
    <t>2 полугодие</t>
  </si>
  <si>
    <t>Общая сумма выплат, руб. (гр.3 x гр.4)</t>
  </si>
  <si>
    <t>Сумма исчисленного налога, подлежащего уплате, руб. (гр.3 x гр.4 / 100)</t>
  </si>
  <si>
    <t>Сумма, руб. (гр.3 x гр.4 x гр.5)</t>
  </si>
  <si>
    <t>Техническое обслуживание и ремонт внутренних электрических сетей (внутридомового электрооборудования)</t>
  </si>
  <si>
    <t>Техническое обслуживание и ремонт системы дымоудаления и противопожарных клапанов</t>
  </si>
  <si>
    <t>Техническое обслуживание и ремонт системы видеонаблюдения</t>
  </si>
  <si>
    <t>Техническое обслуживание и ремонт центральных кондиционеров, вентиляционного оборудования</t>
  </si>
  <si>
    <t>Техническое обслуживание, ремонт и поверка средств измерения узла учета тепловой энергии</t>
  </si>
  <si>
    <t>Техническое обслуживание, ремонт и поверка средств измерения узла учета воды</t>
  </si>
  <si>
    <t>Сервисное обслуживание установок очистки воды</t>
  </si>
  <si>
    <t>Проверка технического состояния транспортного средства</t>
  </si>
  <si>
    <t>Услуги по выполнению противопожарных мероприятий</t>
  </si>
  <si>
    <t>Техническое обслуживание и ремонт сетей теплоснабжения, водоснабжения и водоотведения</t>
  </si>
  <si>
    <t>Техническое обслуживание и ремонт технологического и холодильного оборудования</t>
  </si>
  <si>
    <t>7.</t>
  </si>
  <si>
    <t>8.</t>
  </si>
  <si>
    <t>9.</t>
  </si>
  <si>
    <t>10.</t>
  </si>
  <si>
    <t>11.</t>
  </si>
  <si>
    <t>12.</t>
  </si>
  <si>
    <t>13.</t>
  </si>
  <si>
    <t>куб.м</t>
  </si>
  <si>
    <t>мес.</t>
  </si>
  <si>
    <t>квар.</t>
  </si>
  <si>
    <t>осмотр</t>
  </si>
  <si>
    <t>Выполнение работ по очистке крыши от снега и льда</t>
  </si>
  <si>
    <t>Проведение метрологических услуг (поверка весов)</t>
  </si>
  <si>
    <t>Проведение профилактической дератизации здания</t>
  </si>
  <si>
    <t>Ремонт прочего оборудования</t>
  </si>
  <si>
    <t>14.</t>
  </si>
  <si>
    <t>15.</t>
  </si>
  <si>
    <t>16.</t>
  </si>
  <si>
    <t>17.</t>
  </si>
  <si>
    <t>Охранные услуги (постовая охрана)</t>
  </si>
  <si>
    <t>Информационно-консультативное обслуживание и сопровождение программных продуктов (1С, УРМ)</t>
  </si>
  <si>
    <t>Периодические медицинские осмотры</t>
  </si>
  <si>
    <t>Производственный контроль (замеры)</t>
  </si>
  <si>
    <t>Обучение по охране труда</t>
  </si>
  <si>
    <t>Гигиеническая аттестация работников</t>
  </si>
  <si>
    <t>Обязательное страхование гражданской ответственности владельцев транспортных средств</t>
  </si>
  <si>
    <t>Нотариальные услуги</t>
  </si>
  <si>
    <t>Повышение квалификации работников</t>
  </si>
  <si>
    <t>Охранные услуги с использованием средств тревожной сигнализации и техническое обслуживание тревожной сигнализации</t>
  </si>
  <si>
    <t>Предрейсовый, послерейсовый медицинский осмотр водителей</t>
  </si>
  <si>
    <t>Размещение твердых коммунальных отходов</t>
  </si>
  <si>
    <t>Информационно-технические услуги (право использованимя и годовое сопровождение программы "Контур-Экстерн")</t>
  </si>
  <si>
    <t>Информационно-технические услуги (лицензионное программное обеспечение "VIPNet Client")</t>
  </si>
  <si>
    <t>чел.</t>
  </si>
  <si>
    <t>Прочие работы, услуги</t>
  </si>
  <si>
    <t>Теплоснабжение, Гкал</t>
  </si>
  <si>
    <t>Горячее водоснабжение, куб.м</t>
  </si>
  <si>
    <t>Холодное водоснабжение, куб.м</t>
  </si>
  <si>
    <t>Водоотведение, куб.м</t>
  </si>
  <si>
    <t>Энергоснабжение, тыс.кВт.ч</t>
  </si>
  <si>
    <t>февраль</t>
  </si>
  <si>
    <t>январь</t>
  </si>
  <si>
    <t>февраль - 5 000; июнь - 10 000</t>
  </si>
  <si>
    <t>октябрь</t>
  </si>
  <si>
    <t>ежемесячно</t>
  </si>
  <si>
    <t>март</t>
  </si>
  <si>
    <t>май</t>
  </si>
  <si>
    <t>апрель</t>
  </si>
  <si>
    <t>июнь</t>
  </si>
  <si>
    <t>ноябрь</t>
  </si>
  <si>
    <t>март - 150 000; август - 850 000</t>
  </si>
  <si>
    <t>март, июнь, сентябрь, декабрь - 25 000</t>
  </si>
  <si>
    <t>сентябрь</t>
  </si>
  <si>
    <t>май - 150 000; ноябрь - 150 000</t>
  </si>
  <si>
    <t>Приобретение основных средств (местный бюджет), в том числе</t>
  </si>
  <si>
    <t>печати, штампы</t>
  </si>
  <si>
    <t>Приобретение материальных запасов (местный бюджет), в том числе</t>
  </si>
  <si>
    <t>аптечки, перевязочные средства для аптечек, аскорбиновая кислота</t>
  </si>
  <si>
    <t>мягкий инвентарь (спецодежда)</t>
  </si>
  <si>
    <t>горюче-смазочные материалы</t>
  </si>
  <si>
    <t>моющие и дезинфицирующие средства</t>
  </si>
  <si>
    <t>хозяйственный инвентарь</t>
  </si>
  <si>
    <t xml:space="preserve">канцелярские товары </t>
  </si>
  <si>
    <t>строительные материалы</t>
  </si>
  <si>
    <t>2.6.</t>
  </si>
  <si>
    <t>2.7.</t>
  </si>
  <si>
    <t>Приобретение основных средств (окружной бюджет), в том числе</t>
  </si>
  <si>
    <t>оборудование для кабинета технологии (раздел 2 Перечня, п.81,82)</t>
  </si>
  <si>
    <t>ученическая мебель (раздел 2 Перечня, п.118)</t>
  </si>
  <si>
    <t>синтезатор (раздел 2 Перечня, п.114)</t>
  </si>
  <si>
    <t xml:space="preserve">учебники (раздел 4 Перечня, п.14) </t>
  </si>
  <si>
    <t>Приобретение материальных запасов (окружной бюджет), в том числе</t>
  </si>
  <si>
    <t>мониторы (раздел 1 Перечня, п.26)</t>
  </si>
  <si>
    <t>комплектующие к техническим средствам обучения, для компьютерной техники (раздел 6 Перечня, п.3,4)</t>
  </si>
  <si>
    <t>картриджи (раздел 6 Перечня, п.2)</t>
  </si>
  <si>
    <t>канцелярские товары (раздел 6 Перечня, п.14)</t>
  </si>
  <si>
    <t>наушники (раздел 6 Перечня, п.13)</t>
  </si>
  <si>
    <t>интерактивные доски, проекторы, принтеры (раздел 1 Перечня, п.5,11,30)</t>
  </si>
  <si>
    <t>туристическое снаряжение - палатка (раздел 2 Перечня, п.35)</t>
  </si>
  <si>
    <t>окружной бюджет</t>
  </si>
  <si>
    <t>Программное обеспечение, лицензии на программное обеспечение (раздел 3 Перечня, п.2)</t>
  </si>
  <si>
    <t>Приобретение специальной продукции: медали выпускникам "За особые успехи в учении" (раздел 6 Перечня, п.17)</t>
  </si>
  <si>
    <t>Приобретение бланков строгой отчетности: аттестаты (раздел 6 Перечня, п.18)</t>
  </si>
  <si>
    <t>Телекоммуникационные услуги (Интернет)</t>
  </si>
  <si>
    <t>18.</t>
  </si>
  <si>
    <t>19.</t>
  </si>
  <si>
    <t>дети-дни</t>
  </si>
  <si>
    <t>Предоставление питания (ЗАВТРАКИ и ОБЕДЫ учащимся льготных категорий)</t>
  </si>
  <si>
    <t>Предоставление питания (ЗАВТРАКИ учащимся нельготных категорий)</t>
  </si>
  <si>
    <t>&lt;*&gt;   Указываются   страховые  тарифы,  дифференцированные  по  классам профессионального  риска,  установленные  Федеральным законом от 22 декабря 2005   г.    N  179-ФЗ  «О  страховых  тарифах  на  обязательное социальное страхование  от  несчастных  случаев  на  производстве  и  профессиональных заболеваний  на  2006 год» (Собрание законодательства Российской Федерации, 2005, N 52, ст. 5592; 2015, N 51, ст. 7233).</t>
  </si>
  <si>
    <t>Категория: РУКОВОДИТЕЛИ</t>
  </si>
  <si>
    <t>директор</t>
  </si>
  <si>
    <t>заместитель директора по учебно-воспитательной работе</t>
  </si>
  <si>
    <t>заместитель директора по воспитательной  работе</t>
  </si>
  <si>
    <t>заместитель директора по административно-хозяйственной работе</t>
  </si>
  <si>
    <t>главный бухгалтер</t>
  </si>
  <si>
    <t>Итого</t>
  </si>
  <si>
    <t xml:space="preserve"> педагог-психолог</t>
  </si>
  <si>
    <t>учитель-логопед</t>
  </si>
  <si>
    <t>социальный педагог</t>
  </si>
  <si>
    <t>преподаватель-организатор основ безопасности жизнедеятельности</t>
  </si>
  <si>
    <t>педагог-организатор</t>
  </si>
  <si>
    <t>педагог дополнительного образования</t>
  </si>
  <si>
    <t>Категория: СПЕЦИАЛИСТЫ (педагогический персонал)</t>
  </si>
  <si>
    <t>учитель</t>
  </si>
  <si>
    <t>Категория: СПЕЦИАЛИСТЫ (прочие)</t>
  </si>
  <si>
    <t>бухгалтер</t>
  </si>
  <si>
    <t>экономист</t>
  </si>
  <si>
    <t>инженер по техническим средствам обучения</t>
  </si>
  <si>
    <t>специалист по охране труда</t>
  </si>
  <si>
    <t>специалист по кадрам</t>
  </si>
  <si>
    <t>документовед</t>
  </si>
  <si>
    <t>библиотекарь</t>
  </si>
  <si>
    <t>Категория: РАБОЧИЕ</t>
  </si>
  <si>
    <t>уборщик служебных помещений</t>
  </si>
  <si>
    <t>рабочий по комплексному обслуживанию и ремонту зданий</t>
  </si>
  <si>
    <t>водитель</t>
  </si>
  <si>
    <t>сторож</t>
  </si>
  <si>
    <t>вахтер</t>
  </si>
  <si>
    <t>кладовщик</t>
  </si>
  <si>
    <t>уборщик территории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</si>
  <si>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</si>
  <si>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</si>
  <si>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</si>
  <si>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</si>
  <si>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</si>
  <si>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</si>
  <si>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</si>
  <si>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</si>
  <si>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</si>
  <si>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</si>
  <si>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</si>
  <si>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 т.ч.</t>
  </si>
  <si>
    <t>окружной бюджет (госстандарт)</t>
  </si>
  <si>
    <t>организация питания (СУБВЕНЦИЯ)</t>
  </si>
  <si>
    <t>организация питания (СУБСИДИЯ)</t>
  </si>
  <si>
    <t>Техническое обслуживание системы пожарной сигнализации, системы оповещения людей о пожаре, системы дублирования тревожных сообщений на пульт 01</t>
  </si>
  <si>
    <t>Транспортирование твердых коммунальных отходов и передача отходов для размещения на полигон утилизации ТКО г.Урай</t>
  </si>
  <si>
    <t>КОДЫ</t>
  </si>
  <si>
    <t>Дата</t>
  </si>
  <si>
    <t>Наименование муниципального учреждения</t>
  </si>
  <si>
    <t xml:space="preserve">Единица измерения: руб. </t>
  </si>
  <si>
    <t>по ОКЕИ</t>
  </si>
  <si>
    <t>Наименование органа, осуществляющего функции и полномочия учредителя</t>
  </si>
  <si>
    <t>Х</t>
  </si>
  <si>
    <t>Директор</t>
  </si>
  <si>
    <t>Главный бухгалтер</t>
  </si>
  <si>
    <t>28 декабря 2016 года</t>
  </si>
  <si>
    <t>Сумма, руб. (гр.3 x гр.4)</t>
  </si>
  <si>
    <t>Экономист</t>
  </si>
  <si>
    <t>на</t>
  </si>
  <si>
    <t>УТВЕРЖДАЮ</t>
  </si>
  <si>
    <t>(подпись) (расшифровка подписи)</t>
  </si>
  <si>
    <t>(наименование должности лица,                                                         утверждающего документ)</t>
  </si>
  <si>
    <t>1.4.</t>
  </si>
  <si>
    <t>1.5.</t>
  </si>
  <si>
    <t>№ п/п</t>
  </si>
  <si>
    <t>2017г.</t>
  </si>
  <si>
    <t>из них:</t>
  </si>
  <si>
    <t>Код строки</t>
  </si>
  <si>
    <t>субсидии на осуществление капитальных вложений</t>
  </si>
  <si>
    <t>социальные и иные выплаты населению, всего</t>
  </si>
  <si>
    <t>Год начала закупки</t>
  </si>
  <si>
    <t>очередной финансовый год</t>
  </si>
  <si>
    <t>0001</t>
  </si>
  <si>
    <t>(подпись)</t>
  </si>
  <si>
    <t>(расшифровка подписи)</t>
  </si>
  <si>
    <t xml:space="preserve">тел.: </t>
  </si>
  <si>
    <t>6.3. Расчет (обоснование) расходов на оплату коммунальных услуг (КОСГУ 223)</t>
  </si>
  <si>
    <t>6.5. Расчет (обоснование) расходов на оплату работ, услуг по содержанию имущества (КОСГУ 225)</t>
  </si>
  <si>
    <t>1.6.</t>
  </si>
  <si>
    <t>1.7.</t>
  </si>
  <si>
    <t>6.2. Расчет (обоснование) расходов на оплату транспортных услуг (КОСГУ 222)</t>
  </si>
  <si>
    <t>6.4. Расчет (обоснование) расходов на оплату аренды имущества (КОСГУ 224)</t>
  </si>
  <si>
    <t>6.6. Расчет (обоснование) расходов на оплату прочих работ, услуг (КОСГУ 226)</t>
  </si>
  <si>
    <t>6.7. Расчет (обоснование) расходов на приобретение основных средств (КОСГУ 310)</t>
  </si>
  <si>
    <t>6.8. Расчет (обоснование) расходов на материальных запасов (КОСГУ 340)</t>
  </si>
  <si>
    <t>6.9. Расчет (обоснование) расходов на материальных запасов (КОСГУ 290)</t>
  </si>
  <si>
    <t>Материальная помощь на профилактику заболеваний от годового фонда оплаты труда, иные выплаты</t>
  </si>
  <si>
    <t>1.1. Расчеты (обоснования) расходов на оплату труда (КОСГУ 211 / КВР 111)</t>
  </si>
  <si>
    <t>1.2. Расчеты (обоснования) выплат компенсационного характера персоналу, не включаемых в фонд оплаты труда (КОСГУ 212 / КВР 112)</t>
  </si>
  <si>
    <t>1.3. Расчеты (обоснования) выплат персоналу по уходу за ребенком (КОСГУ 212 / КВР 112)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</si>
  <si>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 / КВР 119)</t>
  </si>
  <si>
    <t>Налог на имущество (КВР 851)</t>
  </si>
  <si>
    <t>Транспортный налог (КВР 852)</t>
  </si>
  <si>
    <t>Плата за загрязнение окружающей среды (КВР 853)</t>
  </si>
  <si>
    <t>Государственная пошлина и сборы (в установленных законодательством случаях) (КВР 852)</t>
  </si>
  <si>
    <t>3. Расчет (обоснование) расходов на уплату налогов, сборов и иных платежей (КОСГУ 290)</t>
  </si>
  <si>
    <t>6.1. Расчет (обоснование) расходов на оплату услуг связи (КОСГУ 221)</t>
  </si>
  <si>
    <t>кол-во</t>
  </si>
  <si>
    <t>средняя стоимость</t>
  </si>
  <si>
    <t>сумма</t>
  </si>
  <si>
    <t>ед.изм.</t>
  </si>
  <si>
    <t>услуга</t>
  </si>
  <si>
    <t>шт.</t>
  </si>
  <si>
    <t>учащихся</t>
  </si>
  <si>
    <t>л</t>
  </si>
  <si>
    <t>кв.м</t>
  </si>
  <si>
    <t>работников</t>
  </si>
  <si>
    <t>дети</t>
  </si>
  <si>
    <t>Фонд оплаты труда в год, руб. (гр. 3 x гр. 4 x (гр. 8 / 100 + гр. 9) x 12)</t>
  </si>
  <si>
    <t>Итого рабочиие</t>
  </si>
  <si>
    <t>Доплата до МРОТ</t>
  </si>
  <si>
    <t xml:space="preserve"> Категория: Руководители</t>
  </si>
  <si>
    <t>Итого руководители</t>
  </si>
  <si>
    <t xml:space="preserve">   Категория: Специалисты</t>
  </si>
  <si>
    <t>Социальный педагог</t>
  </si>
  <si>
    <t xml:space="preserve">Специалист по охране труда </t>
  </si>
  <si>
    <t>Итого специалисты</t>
  </si>
  <si>
    <t xml:space="preserve">   Категория: Служащие</t>
  </si>
  <si>
    <t>Делопроизводитель</t>
  </si>
  <si>
    <t>Итого служащие</t>
  </si>
  <si>
    <t xml:space="preserve">   Категория: Рабочие</t>
  </si>
  <si>
    <t>Швея</t>
  </si>
  <si>
    <t xml:space="preserve">Оплата проезда к месту учебы и обратно, транспортные услуги в хозяйственных целях        </t>
  </si>
  <si>
    <t>группы</t>
  </si>
  <si>
    <t>Итого (местный бюджет):</t>
  </si>
  <si>
    <t>ткань</t>
  </si>
  <si>
    <t>огнетушители</t>
  </si>
  <si>
    <t xml:space="preserve">  Проектор, обучающие комплексы (раздел 1 Перечня, п.16, 4, )</t>
  </si>
  <si>
    <t>Единовременная выплата при предоставлении ежегодного оплачиваемого отпуска 10% от годового фонда оплаты труда</t>
  </si>
  <si>
    <t xml:space="preserve"> Категория: Специалисты</t>
  </si>
  <si>
    <t>Группа "Педагогический персонал"</t>
  </si>
  <si>
    <t>ИТОГО "Педагогический персонал"</t>
  </si>
  <si>
    <t>Группа "Прочие специалисты"</t>
  </si>
  <si>
    <t>Итого "Прочие специалисты"</t>
  </si>
  <si>
    <t>посуда</t>
  </si>
  <si>
    <t xml:space="preserve">спец. одежда </t>
  </si>
  <si>
    <t>1.8.</t>
  </si>
  <si>
    <t>1. Расчеты (обоснования) оплаты труда, начисления на выплаты по оплате труда" (строка 210)</t>
  </si>
  <si>
    <t>4 квартал 2018г.</t>
  </si>
  <si>
    <t>1,2,3 кв.  2019г.</t>
  </si>
  <si>
    <t>1.1</t>
  </si>
  <si>
    <t>1.2</t>
  </si>
  <si>
    <t>1.3</t>
  </si>
  <si>
    <t>1.1. Расчеты (обоснования) расходов на оплату труда (КОСГУ 211, 266 / КВР 111)</t>
  </si>
  <si>
    <t>КОСГУ 211</t>
  </si>
  <si>
    <t>КОСГУ 266</t>
  </si>
  <si>
    <t>1.2. Расчеты (обоснования) выплат компенсационного характера персоналу, не включаемых в фонд оплаты труда (КОСГУ 212, 214, 226 / КВР 112)</t>
  </si>
  <si>
    <t>КОСГУ 212</t>
  </si>
  <si>
    <t>Компенсация дополнительных расходов, связанных с проживанием вне места постоянного жительства (суточные )</t>
  </si>
  <si>
    <t>КОСГУ 214</t>
  </si>
  <si>
    <t>КОСГУ 226</t>
  </si>
  <si>
    <t>Возмещение расходов на прохождение медицинского осмотра (первичный мед.осмотр)</t>
  </si>
  <si>
    <t>1.3. Расчеты (обоснования) выплат персоналу по уходу за ребенком (КОСГУ 266 / КВР 112)</t>
  </si>
  <si>
    <t>2. Расчеты (обоснования) расходов на социальные и иные выплаты населению КОСГУ 266/КВР 321</t>
  </si>
  <si>
    <t>Материальная помощь близким родственникам в случае смерти работника</t>
  </si>
  <si>
    <t>Выплата работникам среднемесячного заработка на период трудоустройства  при их увольнении в связи  с лиувидацией либо реорганизацией учреждения, иными организационно-штатными мероприятиями, приводящими к  сокращению численности или штата учреждения</t>
  </si>
  <si>
    <t>3. Расчет (обоснование) расходов на уплату налогов, сборов и иных платежей (КОСГУ 291)</t>
  </si>
  <si>
    <t>КОСГУ 346</t>
  </si>
  <si>
    <t>6.1. Расчет (обоснование) расходов на оплату коммунальных услуг (КОСГУ 223)</t>
  </si>
  <si>
    <t>6.2. Расчет (обоснование) расходов на оплату работ, услуг по содержанию имущества (КОСГУ 225)</t>
  </si>
  <si>
    <t>6.3. Расчет (обоснование) расходов на оплату прочих работ, услуг (КОСГУ 226)</t>
  </si>
  <si>
    <t>КОСГУ 345</t>
  </si>
  <si>
    <t>6.7. Расчет (обоснование) расходов на приобретение права пользования (КОСГУ 350)</t>
  </si>
  <si>
    <t>Субсидия на финансовое обеспечение выполнения муниципального задания на оказание муниципальных услуг   (выполнение работ)</t>
  </si>
  <si>
    <t>Ведущий экономист</t>
  </si>
  <si>
    <t>Ведущий бухгалтер</t>
  </si>
  <si>
    <t>Исполнитель: Ведущий экономист</t>
  </si>
  <si>
    <t>Группа "Рабочие"</t>
  </si>
  <si>
    <t>Потребление тепла</t>
  </si>
  <si>
    <t>выплата материальной помощи на погребение сотрудника</t>
  </si>
  <si>
    <t>2. Расчеты (обоснования) расходов на социальные и иные выплаты населению КОСГУ 264/КВР 321</t>
  </si>
  <si>
    <t>Итого (центр занятости):</t>
  </si>
  <si>
    <t>Иные цели</t>
  </si>
  <si>
    <t>Коммунальные услуги в том числе</t>
  </si>
  <si>
    <t>Услуги по содержанию имущества, в том числе</t>
  </si>
  <si>
    <t>Прочие работы, услуги, в том числе</t>
  </si>
  <si>
    <t>Приобретение основных средств, в том числе</t>
  </si>
  <si>
    <t>Приобретение материальных запасов, в том числе</t>
  </si>
  <si>
    <t>Приобретение права пользования, в том числе</t>
  </si>
  <si>
    <t>6.5.  Расчет (обоснование) расходов на увеличение стоимости основных средств (КОСГУ 310)</t>
  </si>
  <si>
    <t>6.6.  Расчет (обоснование) расходов на увеличение стоимости материальных запасов (КОСГУ 340)</t>
  </si>
  <si>
    <t>6.4. Услуги работы для целей капитальных вложений (КОСГУ 228)</t>
  </si>
  <si>
    <t>6.7. Услуги работы для целей капитальных вложений (КОСГУ 228)</t>
  </si>
  <si>
    <t>6.8.  Расчет (обоснование) расходов на увеличение стоимости основных средств (КОСГУ 310)</t>
  </si>
  <si>
    <t>6.9.  Расчет (обоснование) расходов на увеличение стоимости материальных запасов (КОСГУ 340)</t>
  </si>
  <si>
    <t>6.10. Расчет (обоснование) расходов на приобретение права пользования (КОСГУ 350)</t>
  </si>
  <si>
    <t>СОГЛАСОВАНО</t>
  </si>
  <si>
    <t>______________________М.Н.Бусова</t>
  </si>
  <si>
    <t>Начальник УОиМП администрации г.Урай</t>
  </si>
  <si>
    <t>План финансово-хозяйственной деятельности на 2020 г.</t>
  </si>
  <si>
    <t>по Сводному реестру</t>
  </si>
  <si>
    <t>глава по БК</t>
  </si>
  <si>
    <t>ИНН</t>
  </si>
  <si>
    <t>КПП</t>
  </si>
  <si>
    <t xml:space="preserve">Управление образования и молодежной политики </t>
  </si>
  <si>
    <t>администрации города Урай</t>
  </si>
  <si>
    <t xml:space="preserve"> Раздел I. Поступления и выплаты</t>
  </si>
  <si>
    <t>Код по бюджетной классификации Российской Федерации</t>
  </si>
  <si>
    <t>Аналитический код (КОСГу)</t>
  </si>
  <si>
    <t>Сумма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</si>
  <si>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</si>
  <si>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</si>
  <si>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</si>
  <si>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</si>
  <si>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</si>
  <si>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</si>
  <si>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</si>
  <si>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субсидии на финансовое обеспечение выполнения муниципального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</si>
  <si>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</si>
  <si>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</si>
  <si>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</si>
  <si>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</si>
  <si>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</si>
  <si>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</si>
  <si>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</si>
  <si>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</si>
  <si>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</si>
  <si>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</si>
  <si>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</si>
  <si>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</si>
  <si>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</si>
  <si>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</si>
  <si>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</si>
  <si>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</si>
  <si>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</si>
  <si>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</si>
  <si>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</si>
  <si>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</si>
  <si>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</si>
  <si>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</si>
  <si>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</si>
  <si>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</si>
  <si>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</si>
  <si>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</si>
  <si>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</si>
  <si>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</si>
  <si>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</si>
  <si>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</si>
  <si>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</si>
  <si>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</si>
  <si>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</si>
  <si>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</si>
  <si>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</si>
  <si>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&lt;1&gt; 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</si>
  <si>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</si>
  <si>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</si>
  <si>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</si>
  <si>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</si>
  <si>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</si>
  <si>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</si>
  <si>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</si>
  <si>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</si>
  <si>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</si>
  <si>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</si>
  <si>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</si>
  <si>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</si>
  <si>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</si>
  <si>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на 2020 г. текущий финансовый год</t>
  </si>
  <si>
    <t>на 2021г. первый год планового периода</t>
  </si>
  <si>
    <t>на 2022г. второй год планового периода</t>
  </si>
  <si>
    <t>0002</t>
  </si>
  <si>
    <r>
      <t xml:space="preserve">&lt;1&gt;  Показатели  выплат  по  расходам на закупки товаров, работ, услуг, отраженные  в </t>
    </r>
    <r>
      <rPr>
        <sz val="10"/>
        <rFont val="Times New Roman"/>
        <family val="1"/>
        <charset val="204"/>
      </rPr>
      <t>строке 2600 Раздела 1</t>
    </r>
    <r>
      <rPr>
        <sz val="10"/>
        <color theme="1"/>
        <rFont val="Times New Roman"/>
        <family val="1"/>
        <charset val="204"/>
      </rPr>
      <t xml:space="preserve"> «Поступления и выплаты» Плана, подлежат детализации  в  </t>
    </r>
    <r>
      <rPr>
        <sz val="10"/>
        <rFont val="Times New Roman"/>
        <family val="1"/>
        <charset val="204"/>
      </rPr>
      <t>Разделе  2</t>
    </r>
    <r>
      <rPr>
        <sz val="10"/>
        <color theme="1"/>
        <rFont val="Times New Roman"/>
        <family val="1"/>
        <charset val="204"/>
      </rPr>
      <t xml:space="preserve"> «Сведения по выплатам на закупку товаров, работ, услуг» Плана.</t>
    </r>
    <r>
      <rPr>
        <b/>
        <sz val="10"/>
        <color theme="1"/>
        <rFont val="Times New Roman"/>
        <family val="1"/>
        <charset val="204"/>
      </rPr>
      <t xml:space="preserve">          </t>
    </r>
  </si>
  <si>
    <t>Коды строк</t>
  </si>
  <si>
    <t>Выплаты на закупку товаров, работ, услуг, всего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</si>
  <si>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от 05.04.2013 №44-ФЗ «О контрактной системе в сфере закупок товаров, работ, услуг для обеспечения государственных и муниципальных нужд» (далее - Федеральный закон №44-ФЗ) и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от 18.07.2011 №223-ФЗ «О закупках товаров, работ, услуг отдельными видами юридических лиц» (далее - Федеральный закон №223-ФЗ)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</si>
  <si>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№44-ФЗ и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№223-ФЗ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</si>
  <si>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№44-ФЗ и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№223-ФЗ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</si>
  <si>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№44-ФЗ и Федерального </t>
    </r>
    <r>
      <rPr>
        <sz val="10"/>
        <rFont val="Times New Roman"/>
        <family val="1"/>
        <charset val="204"/>
      </rPr>
      <t>закона</t>
    </r>
    <r>
      <rPr>
        <sz val="10"/>
        <color theme="1"/>
        <rFont val="Times New Roman"/>
        <family val="1"/>
        <charset val="204"/>
      </rPr>
      <t xml:space="preserve"> №223-ФЗ</t>
    </r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</si>
  <si>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</si>
  <si>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</si>
  <si>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№44-ФЗ</t>
  </si>
  <si>
    <t>1.4.1.2.</t>
  </si>
  <si>
    <t>в соответствии с Федеральным законом №223-ФЗ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</si>
  <si>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</si>
  <si>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</si>
  <si>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</si>
  <si>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</si>
  <si>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</si>
  <si>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</si>
  <si>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</si>
  <si>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</si>
  <si>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</si>
  <si>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</si>
  <si>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</si>
  <si>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</si>
  <si>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</si>
  <si>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</si>
  <si>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Итого по контрактам, планируемым к заключению в соответствующем финансовом году в соответствии с Федеральным законом №44-ФЗ, по соответствующему году закупки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</si>
  <si>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</si>
  <si>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№223-ФЗ, по соответствующему году закупки</t>
  </si>
  <si>
    <t xml:space="preserve"> Раздел 2. Сведения по выплатам на закупки товаров, работ, услуг</t>
  </si>
  <si>
    <t>на 2020 г. (текущий финансовый год)</t>
  </si>
  <si>
    <t>на 2021 г. (первый год планового периода)</t>
  </si>
  <si>
    <t>на 2022 г. (второй год планового периода)</t>
  </si>
  <si>
    <t xml:space="preserve">&lt;*&gt;   Указываются   страховые  тарифы,  дифференцированные  по  классам профессионального  риска,  установленные  Федеральным законом от 22 декабря 2005   г.    N  179-ФЗ  «О  страховых  тарифах  на  обязательное социальное страхование  от  несчастных  случаев  на  производстве  и  профессиональных заболеваний  на  2006 год» </t>
  </si>
  <si>
    <t xml:space="preserve">(должностное лицо органа, осуществляющего фкункции и полномочия учредителя)   </t>
  </si>
  <si>
    <t>(на 2020 год и плановый период 2021 и 2022 годов)</t>
  </si>
  <si>
    <t xml:space="preserve">Муниципальное бюджетное учреждение молодежи и дополнительного образования </t>
  </si>
  <si>
    <t xml:space="preserve">"Центр молодежи и дополнительного образования" </t>
  </si>
  <si>
    <t>Муниципальное бюджетное учреждения молодежи и дополнительного образования
"Центр молодежи и дополнительного образования"</t>
  </si>
  <si>
    <t>поступления от оказания услуг (выполнения работ) на платной основе и от иной приноящей доход деятельности</t>
  </si>
  <si>
    <t>Л.В. Хрипунова</t>
  </si>
  <si>
    <t>А.С. Галиева</t>
  </si>
  <si>
    <t xml:space="preserve">    Муниципальное бюджетное учреждение молодежи и дополнительного образования
"Центр молодежи и дополнительного образования"</t>
  </si>
  <si>
    <t>Всего:</t>
  </si>
  <si>
    <t>Выплата пособий за первые три дня временной нетрудоспособности за счет средств работодателя (КОСГУ  КВР 111)</t>
  </si>
  <si>
    <t>Заместитель директора</t>
  </si>
  <si>
    <t>Педагог-организатор</t>
  </si>
  <si>
    <t>Методист</t>
  </si>
  <si>
    <t>Специалист в сфере закупок</t>
  </si>
  <si>
    <t>Юрисконсульт</t>
  </si>
  <si>
    <t>Специалист по управлению персоналом</t>
  </si>
  <si>
    <t>Звукооператор</t>
  </si>
  <si>
    <t>Инженер-программист</t>
  </si>
  <si>
    <t>Специалист по работе с молодежью</t>
  </si>
  <si>
    <t>Специалист АХД</t>
  </si>
  <si>
    <t>Секретарь</t>
  </si>
  <si>
    <t>Дворник</t>
  </si>
  <si>
    <t>Уборщик СП</t>
  </si>
  <si>
    <t>Рабочий КОиРЗ</t>
  </si>
  <si>
    <t>Гардеробщик</t>
  </si>
  <si>
    <t>Осветитель</t>
  </si>
  <si>
    <t>Курьер</t>
  </si>
  <si>
    <t>Указ</t>
  </si>
  <si>
    <t>ЦЗН</t>
  </si>
  <si>
    <t>Страховые взносы в Пенсионный фонд Российской Федерации, всего МБ</t>
  </si>
  <si>
    <t>Страховые взносы в Пенсионный фонд Российской Федерации, всего ЦЗН</t>
  </si>
  <si>
    <t>по ставке 22,0% МБ</t>
  </si>
  <si>
    <t>по ставке 22,0% ЦЗН</t>
  </si>
  <si>
    <t>Страховые взносы в Фонд социального страхования Российской Федерации, всего МБ</t>
  </si>
  <si>
    <t>Страховые взносы в Фонд социального страхования Российской Федерации, всего ЦЗН</t>
  </si>
  <si>
    <t>обязательное социальное страхование на случай временной нетрудоспособности и в связи с материнством по ставке 2,9% МБ</t>
  </si>
  <si>
    <t>обязательное социальное страхование на случай временной нетрудоспособности и в связи с материнством по ставке 2,9% ЦЗН</t>
  </si>
  <si>
    <t>обязательное социальное страхование от несчастных случаев на производстве и профессиональных заболеваний по ставке 0,2% МБ</t>
  </si>
  <si>
    <t>обязательное социальное страхование от несчастных случаев на производстве и профессиональных заболеваний по ставке 0,2% ЦЗН</t>
  </si>
  <si>
    <t>Страховые взносы в Федеральный фонд обязательного медицинского страхования, всего (по ставке 5,1%) МБ</t>
  </si>
  <si>
    <t>Страховые взносы в Федеральный фонд обязательного медицинского страхования, всего (по ставке 5,1%) ЦЗН</t>
  </si>
  <si>
    <t>Услуг связи, в том числе</t>
  </si>
  <si>
    <t>Предоставление местных, междугороднх телефонных соединений</t>
  </si>
  <si>
    <t>Телекоммуникационные услуги (Интернет Дружба)</t>
  </si>
  <si>
    <t>Телекоммуникационные услуги (Интернет ЦМДО)</t>
  </si>
  <si>
    <t>Услуги по энергосбережению</t>
  </si>
  <si>
    <t xml:space="preserve">Техническое обслуживание и ремонт внутренних электрических сетей </t>
  </si>
  <si>
    <t>Техническое обслуживание и ремонт технических средств пожарной безопасности</t>
  </si>
  <si>
    <t>Техническое обслуживание, ремонт и поверка средств измерения узла учета холодного водоснабжения</t>
  </si>
  <si>
    <t>Техническое обслуживание и ремонт внутреннего противопожарного водоснабжения</t>
  </si>
  <si>
    <t>квартал</t>
  </si>
  <si>
    <t>Техническое обслуживание и ремонт систем видеонаблюдения</t>
  </si>
  <si>
    <t>усл</t>
  </si>
  <si>
    <t>Содержание и ТО общего имущества многоквартирного дома (Дружба)</t>
  </si>
  <si>
    <t>ТО и ремонт средств тревожной сигнализации</t>
  </si>
  <si>
    <t>ТО и ремонт системы СКУД</t>
  </si>
  <si>
    <t>Физическая охрана</t>
  </si>
  <si>
    <t>час</t>
  </si>
  <si>
    <t>Охранные услуги с использованием средств тревожной сигнализации (УВО)</t>
  </si>
  <si>
    <t>Охранные услуги с использованием ПЦН (Дружба)</t>
  </si>
  <si>
    <t>Охранные услуги с использованием КТС (Дружба)</t>
  </si>
  <si>
    <t>Информационно-консультативное обслуживание и сопровождение программных продуктов (Камин, 1С)</t>
  </si>
  <si>
    <t>Информационно-консультативное обслуживание и сопровождение программных продуктов (УРМ)</t>
  </si>
  <si>
    <t>Специальная оценка условий труда</t>
  </si>
  <si>
    <t>Сопровождение Интернет-сайта "Доброволец-урая"</t>
  </si>
  <si>
    <t>Сервисное обслуживание процесса эксплуатации ПО "Аверс: Управление учреждением дополнительного образования"</t>
  </si>
  <si>
    <t>Лицензия на право использования ПО Майкрософт , ВипНет</t>
  </si>
  <si>
    <t>Лицензия на право использования "Программный межсетевой экран Интернет Контроль Сервер"</t>
  </si>
  <si>
    <t>Лицензия на право использования СКЗИ "Крипто Про"</t>
  </si>
  <si>
    <t>Приобретение канцелярских товаров</t>
  </si>
  <si>
    <t>Приобретение хоз товаров, моющих средств</t>
  </si>
  <si>
    <t>Всего МБ:</t>
  </si>
  <si>
    <t>Итого МБ :</t>
  </si>
  <si>
    <t>Итого ЦЗН :</t>
  </si>
  <si>
    <t>8 (34676) 2-63-57</t>
  </si>
  <si>
    <t>СВОД (субсидии на иные цели)</t>
  </si>
  <si>
    <t>Приобретение проездных документов для детей</t>
  </si>
  <si>
    <t>1.2. Расчеты (обоснования) выплат компенсационного характера персоналу, не включаемых в фонд оплаты труда (КОСГУ 212, 214, 226 / КВР 112,113)</t>
  </si>
  <si>
    <t>Измерение сопротивления изоляции электропроводки</t>
  </si>
  <si>
    <t>п.6.1 программы "Развитие образования и молодежной политики в городе Урай" на 2019-2030"</t>
  </si>
  <si>
    <t>Услуги приглашенного эксперта</t>
  </si>
  <si>
    <t>п.6.2 программы "Развитие образования и молодежной политики в городе Урай" на 2019-2030"</t>
  </si>
  <si>
    <t>Организация проживания участников в гостинице</t>
  </si>
  <si>
    <t>Организация питания участников, кофе-брейк</t>
  </si>
  <si>
    <t>Услуги модератора</t>
  </si>
  <si>
    <t>п.6.3 программы "Развитие образования и молодежной политики в городе Урай" на 2019-2030"</t>
  </si>
  <si>
    <t>Организация музыкального концерта</t>
  </si>
  <si>
    <t>Изготовление личных книжек волонтера</t>
  </si>
  <si>
    <t>«Профилактика правонарушений на территории города Урай» на 2018-2030 годы, п 3.1</t>
  </si>
  <si>
    <t>Услуги по созданию видеороликов</t>
  </si>
  <si>
    <t>Услуги эксперта-лектора</t>
  </si>
  <si>
    <t>п.2.5 программы "Развитие образования и молодежной политики в городе Урай" на 2019-2030"</t>
  </si>
  <si>
    <t>Баннер</t>
  </si>
  <si>
    <t>п.3.6 программы "Развитие образования и молодежной политики в городе Урай" на 2019-2030"</t>
  </si>
  <si>
    <t>Стол (проведение Брейн-ринг)</t>
  </si>
  <si>
    <t>Логотип (пластик)</t>
  </si>
  <si>
    <t>Средства от предпринимательской и иной приносящей доход деятельности</t>
  </si>
  <si>
    <t>Педагог дополнительного образования</t>
  </si>
  <si>
    <t>Итого ПФДО :</t>
  </si>
  <si>
    <t>Всего ПФДО:</t>
  </si>
  <si>
    <t xml:space="preserve">   Категория: Специалисты ПД</t>
  </si>
  <si>
    <t>Единовременная выплата при предоставлении ежегодного оплачиваемого отпуска 10% от годового фонда оплаты труда ПД</t>
  </si>
  <si>
    <t>Итого ПД :</t>
  </si>
  <si>
    <t>Выплата пособий за первые три дня временной нетрудоспособности за счет средств работодателя (КОСГУ  КВР 111) ПФДО</t>
  </si>
  <si>
    <t>Выплата пособий за первые три дня временной нетрудоспособности за счет средств работодателя (КОСГУ  КВР 111) ПД</t>
  </si>
  <si>
    <t>Компенсация дополнительных расходов, связанных с проживанием вне места постоянного жительства (суточные ) ПД</t>
  </si>
  <si>
    <t>Возмещение расходов на прохождение медицинского осмотра (первичный мед.осмотр) ПД</t>
  </si>
  <si>
    <t>Командировочные расходы в части проезда, проживания (ПД)</t>
  </si>
  <si>
    <t>Итого ПД:</t>
  </si>
  <si>
    <t>Страховые взносы в Пенсионный фонд Российской Федерации, всего ПФДО</t>
  </si>
  <si>
    <t>Страховые взносы в Пенсионный фонд Российской Федерации, всего ПД</t>
  </si>
  <si>
    <t>по ставке 22,0% ПФДО</t>
  </si>
  <si>
    <t>по ставке 22,0% ПД</t>
  </si>
  <si>
    <t>Страховые взносы в Фонд социального страхования Российской Федерации, всего ПФДО</t>
  </si>
  <si>
    <t>Страховые взносы в Фонд социального страхования Российской Федерации, всего ПД</t>
  </si>
  <si>
    <t>обязательное социальное страхование на случай временной нетрудоспособности и в связи с материнством по ставке 2,9% ПФДО</t>
  </si>
  <si>
    <t>обязательное социальное страхование на случай временной нетрудоспособности и в связи с материнством по ставке 2,9% ПД</t>
  </si>
  <si>
    <t>обязательное социальное страхование от несчастных случаев на производстве и профессиональных заболеваний по ставке 0,2% ПФДО</t>
  </si>
  <si>
    <t>обязательное социальное страхование от несчастных случаев на производстве и профессиональных заболеваний по ставке 0,2% ПД</t>
  </si>
  <si>
    <t>Страховые взносы в Федеральный фонд обязательного медицинского страхования, всего (по ставке 5,1%) ПФДО</t>
  </si>
  <si>
    <t>Страховые взносы в Федеральный фонд обязательного медицинского страхования, всего (по ставке 5,1%) ПД</t>
  </si>
  <si>
    <t>Итого (ПФДО):</t>
  </si>
  <si>
    <t>Итого (ПД):</t>
  </si>
  <si>
    <t>Вывоз ЖБО (ПФДО)</t>
  </si>
  <si>
    <t xml:space="preserve">6. </t>
  </si>
  <si>
    <t>Услуги по энергосбережению (ПФДО)</t>
  </si>
  <si>
    <t>Услуги по обращению с ТКО (ПФДО)</t>
  </si>
  <si>
    <t>Теплоснабжение, Гкал (ПД)</t>
  </si>
  <si>
    <t>Горячее водоснабжение (ПД)</t>
  </si>
  <si>
    <t>Теплоснабжение, Гкал (ПФДО)</t>
  </si>
  <si>
    <t>Холодное водоснабжение, куб.м (ПФДО)</t>
  </si>
  <si>
    <t>Водоотведение, куб.м (ПФДО)</t>
  </si>
  <si>
    <t>Энергоснабжение, тыс.кВт.ч (ПФДО)</t>
  </si>
  <si>
    <t>Проведение ежеквартальной проверки огнетушителей</t>
  </si>
  <si>
    <t>Итого ПФДО:</t>
  </si>
  <si>
    <t>Обучение по охране труда, пожарно-технический минимум</t>
  </si>
  <si>
    <t>Сопровождение интернет-сайта МБУ ДО ЦМДО (ПД)</t>
  </si>
  <si>
    <t>Оплата орг взносов за участие в форумах, семинарах, конкурсах, курсы повышения квалификации (ПД)</t>
  </si>
  <si>
    <t>Стулья для кабинета вокала</t>
  </si>
  <si>
    <t>Мебель для учебных кабинетов (стеллажи, шкафы, стол, стулья для учителя, парты, стулья для учеников, диваны)</t>
  </si>
  <si>
    <t>ПФДО</t>
  </si>
  <si>
    <t>ПД</t>
  </si>
  <si>
    <t>Приобретение материальных запасов (ПФДО)</t>
  </si>
  <si>
    <t>1-ый год планового периода</t>
  </si>
  <si>
    <t>2-ой год планового периода</t>
  </si>
  <si>
    <t>КОСГУ 349</t>
  </si>
  <si>
    <t>Футболки</t>
  </si>
  <si>
    <t>Футболки с логотипом</t>
  </si>
  <si>
    <t>Блокноты</t>
  </si>
  <si>
    <t>Ленты для бейджа</t>
  </si>
  <si>
    <t>Бумага (пакеты) для ламинирования</t>
  </si>
  <si>
    <t>Маркеры</t>
  </si>
  <si>
    <t>Ручки (Волонтер)</t>
  </si>
  <si>
    <t>Силиконовые браслеты</t>
  </si>
  <si>
    <t>Рамки (Волонтер)</t>
  </si>
  <si>
    <t>Почетный знак "Волонтер года"</t>
  </si>
  <si>
    <t>Футляр для значка</t>
  </si>
  <si>
    <t>Пакет</t>
  </si>
  <si>
    <t>Бумага А4, матовая</t>
  </si>
  <si>
    <t>Бумага офисная, А4</t>
  </si>
  <si>
    <t>Ручка</t>
  </si>
  <si>
    <t>Стикеры</t>
  </si>
  <si>
    <t>Батарейки для микрофонов</t>
  </si>
  <si>
    <t>Картридж для принтера</t>
  </si>
  <si>
    <t>Подарочные сертификаты (Моя идея)</t>
  </si>
  <si>
    <t>Подарочный сертификат участника</t>
  </si>
  <si>
    <t>Рамки для дипломов (Моя идея)</t>
  </si>
  <si>
    <t>Бумага для флипчарта</t>
  </si>
  <si>
    <t>Бумага офисная, А3</t>
  </si>
  <si>
    <t>Бумага цветная А4</t>
  </si>
  <si>
    <t>Георгиевская лента</t>
  </si>
  <si>
    <t>Лента триколор</t>
  </si>
  <si>
    <t>Свеча-таблетка</t>
  </si>
  <si>
    <t>Дипломы</t>
  </si>
  <si>
    <t>Рамки для дипломов</t>
  </si>
  <si>
    <t>Деревянные медали</t>
  </si>
  <si>
    <t>Кубки</t>
  </si>
  <si>
    <t>Кубки (Игры разума)</t>
  </si>
  <si>
    <t>Подарочные сертификаты (Игры разума)</t>
  </si>
  <si>
    <t>Буклеты (Добровольчество)</t>
  </si>
  <si>
    <t>Тематические памятки</t>
  </si>
  <si>
    <t>п.5.1 программы "Развитие образования и молодежной политики в городе Урай" на 2019-2030"</t>
  </si>
  <si>
    <t>РОиМП</t>
  </si>
  <si>
    <t>Проф</t>
  </si>
  <si>
    <t>1.4.1.</t>
  </si>
  <si>
    <t>______________________Н.А. Пономаренко</t>
  </si>
  <si>
    <t>Н.А. Пономаренко</t>
  </si>
  <si>
    <t>"24"     декабря_      2019г.</t>
  </si>
  <si>
    <r>
      <t xml:space="preserve">        от</t>
    </r>
    <r>
      <rPr>
        <u/>
        <sz val="10"/>
        <rFont val="Calibri"/>
        <family val="2"/>
        <charset val="204"/>
      </rPr>
      <t xml:space="preserve">  "24 "   декабря   2019 г.  </t>
    </r>
    <r>
      <rPr>
        <sz val="10"/>
        <rFont val="Calibri"/>
        <family val="2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</si>
</sst>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0.0%"/>
    <numFmt numFmtId="168" formatCode="#,##0.0"/>
    <numFmt numFmtId="169" formatCode="_-* #,##0_р_._-;\-* #,##0_р_._-;_-* &quot;-&quot;??_р_._-;_-@_-"/>
    <numFmt numFmtId="170" formatCode="0.000"/>
    <numFmt numFmtId="171" formatCode="#,##0.00_ ;\-#,##0.00\ "/>
    <numFmt numFmtId="172" formatCode="_-* #,##0.0000_р_._-;\-* #,##0.0000_р_._-;_-* &quot;-&quot;??_р_._-;_-@_-"/>
    <numFmt numFmtId="173" formatCode="#,##0.00_р_."/>
    <numFmt numFmtId="174" formatCode="#,##0.00\ _₽"/>
    <numFmt numFmtId="175" formatCode="#,##0.0_р_.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Helv"/>
      <family val="2"/>
      <charset val="204"/>
    </font>
    <font>
      <b/>
      <sz val="14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b/>
      <u/>
      <sz val="12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6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u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8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3" fillId="0" borderId="6" xfId="0" applyFont="1" applyBorder="1"/>
    <xf numFmtId="0" fontId="5" fillId="0" borderId="4" xfId="0" applyFont="1" applyBorder="1"/>
    <xf numFmtId="0" fontId="3" fillId="0" borderId="4" xfId="0" applyFont="1" applyBorder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167" fontId="3" fillId="2" borderId="1" xfId="2" applyNumberFormat="1" applyFont="1" applyFill="1" applyBorder="1" applyAlignment="1">
      <alignment horizontal="center" wrapText="1"/>
    </xf>
    <xf numFmtId="165" fontId="6" fillId="0" borderId="0" xfId="1" applyNumberFormat="1" applyFont="1" applyAlignment="1">
      <alignment vertical="top"/>
    </xf>
    <xf numFmtId="0" fontId="4" fillId="0" borderId="1" xfId="0" applyFont="1" applyBorder="1" applyAlignment="1">
      <alignment horizontal="center" wrapText="1"/>
    </xf>
    <xf numFmtId="165" fontId="6" fillId="0" borderId="0" xfId="1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0" xfId="0" applyFont="1" applyAlignment="1">
      <alignment horizontal="left"/>
    </xf>
    <xf numFmtId="0" fontId="11" fillId="0" borderId="1" xfId="3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9" fontId="7" fillId="0" borderId="1" xfId="2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12" fillId="0" borderId="3" xfId="3" applyFont="1" applyFill="1" applyBorder="1" applyAlignment="1"/>
    <xf numFmtId="0" fontId="12" fillId="0" borderId="4" xfId="3" applyFont="1" applyFill="1" applyBorder="1" applyAlignment="1"/>
    <xf numFmtId="0" fontId="13" fillId="0" borderId="1" xfId="3" applyFont="1" applyFill="1" applyBorder="1" applyAlignment="1">
      <alignment horizontal="center" wrapText="1"/>
    </xf>
    <xf numFmtId="0" fontId="11" fillId="0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11" fillId="0" borderId="1" xfId="3" applyNumberFormat="1" applyFont="1" applyFill="1" applyBorder="1" applyAlignment="1">
      <alignment horizontal="center" wrapText="1"/>
    </xf>
    <xf numFmtId="166" fontId="11" fillId="0" borderId="1" xfId="3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wrapText="1"/>
    </xf>
    <xf numFmtId="9" fontId="6" fillId="2" borderId="1" xfId="2" applyFont="1" applyFill="1" applyBorder="1" applyAlignment="1">
      <alignment horizontal="center" wrapText="1"/>
    </xf>
    <xf numFmtId="168" fontId="6" fillId="2" borderId="1" xfId="0" applyNumberFormat="1" applyFont="1" applyFill="1" applyBorder="1" applyAlignment="1">
      <alignment horizontal="center" wrapText="1"/>
    </xf>
    <xf numFmtId="166" fontId="14" fillId="2" borderId="1" xfId="0" applyNumberFormat="1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3" fontId="15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4" applyFont="1" applyFill="1" applyAlignment="1">
      <alignment horizontal="justify"/>
    </xf>
    <xf numFmtId="0" fontId="16" fillId="0" borderId="0" xfId="4" applyFont="1" applyFill="1"/>
    <xf numFmtId="0" fontId="19" fillId="0" borderId="0" xfId="4" applyFont="1" applyFill="1"/>
    <xf numFmtId="0" fontId="16" fillId="0" borderId="0" xfId="4" applyFont="1" applyFill="1" applyAlignment="1">
      <alignment horizontal="right"/>
    </xf>
    <xf numFmtId="0" fontId="23" fillId="0" borderId="0" xfId="4" applyFont="1" applyFill="1" applyAlignment="1"/>
    <xf numFmtId="0" fontId="24" fillId="0" borderId="0" xfId="4" applyFont="1" applyFill="1"/>
    <xf numFmtId="0" fontId="21" fillId="0" borderId="0" xfId="4" applyFont="1" applyFill="1" applyAlignment="1"/>
    <xf numFmtId="0" fontId="25" fillId="0" borderId="0" xfId="4" applyFont="1" applyFill="1" applyAlignment="1"/>
    <xf numFmtId="0" fontId="25" fillId="0" borderId="0" xfId="4" applyFont="1" applyFill="1" applyAlignment="1">
      <alignment horizontal="right"/>
    </xf>
    <xf numFmtId="0" fontId="16" fillId="0" borderId="0" xfId="4" applyFont="1" applyFill="1" applyAlignment="1">
      <alignment horizontal="left"/>
    </xf>
    <xf numFmtId="0" fontId="23" fillId="0" borderId="0" xfId="4" applyFont="1" applyFill="1"/>
    <xf numFmtId="0" fontId="26" fillId="0" borderId="0" xfId="4" applyFont="1" applyFill="1"/>
    <xf numFmtId="0" fontId="18" fillId="0" borderId="0" xfId="0" applyFont="1" applyAlignment="1">
      <alignment horizontal="right"/>
    </xf>
    <xf numFmtId="0" fontId="18" fillId="0" borderId="6" xfId="0" applyFont="1" applyBorder="1" applyAlignment="1">
      <alignment horizontal="right"/>
    </xf>
    <xf numFmtId="0" fontId="18" fillId="0" borderId="6" xfId="0" applyFont="1" applyBorder="1"/>
    <xf numFmtId="0" fontId="1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16" fillId="0" borderId="0" xfId="4" applyFont="1" applyFill="1" applyAlignment="1">
      <alignment horizontal="center"/>
    </xf>
    <xf numFmtId="0" fontId="20" fillId="0" borderId="0" xfId="4" applyFont="1" applyFill="1" applyAlignment="1">
      <alignment wrapText="1"/>
    </xf>
    <xf numFmtId="0" fontId="24" fillId="0" borderId="0" xfId="4" applyFont="1" applyFill="1" applyAlignment="1">
      <alignment vertical="top"/>
    </xf>
    <xf numFmtId="0" fontId="3" fillId="0" borderId="1" xfId="0" applyFont="1" applyBorder="1" applyAlignment="1">
      <alignment horizontal="center" wrapText="1"/>
    </xf>
    <xf numFmtId="165" fontId="5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165" fontId="3" fillId="0" borderId="1" xfId="1" applyFont="1" applyBorder="1" applyAlignment="1"/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71" fontId="3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3" fillId="0" borderId="0" xfId="0" applyNumberFormat="1" applyFont="1"/>
    <xf numFmtId="168" fontId="3" fillId="0" borderId="1" xfId="0" applyNumberFormat="1" applyFont="1" applyBorder="1" applyAlignment="1">
      <alignment horizontal="center" wrapText="1"/>
    </xf>
    <xf numFmtId="171" fontId="3" fillId="0" borderId="1" xfId="1" applyNumberFormat="1" applyFont="1" applyBorder="1" applyAlignment="1"/>
    <xf numFmtId="0" fontId="3" fillId="0" borderId="1" xfId="0" applyFont="1" applyBorder="1"/>
    <xf numFmtId="171" fontId="3" fillId="0" borderId="0" xfId="0" applyNumberFormat="1" applyFont="1"/>
    <xf numFmtId="0" fontId="31" fillId="3" borderId="1" xfId="0" applyFont="1" applyFill="1" applyBorder="1" applyAlignment="1">
      <alignment horizontal="center" vertical="center" wrapText="1"/>
    </xf>
    <xf numFmtId="174" fontId="31" fillId="3" borderId="1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8" fillId="0" borderId="0" xfId="0" applyFont="1"/>
    <xf numFmtId="0" fontId="30" fillId="0" borderId="0" xfId="0" applyFont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0" xfId="0" applyFont="1"/>
    <xf numFmtId="0" fontId="31" fillId="0" borderId="6" xfId="0" applyFont="1" applyBorder="1" applyAlignment="1">
      <alignment horizontal="center"/>
    </xf>
    <xf numFmtId="0" fontId="28" fillId="0" borderId="6" xfId="0" applyFont="1" applyBorder="1"/>
    <xf numFmtId="0" fontId="31" fillId="0" borderId="4" xfId="0" applyFont="1" applyBorder="1"/>
    <xf numFmtId="0" fontId="28" fillId="0" borderId="4" xfId="0" applyFont="1" applyBorder="1"/>
    <xf numFmtId="0" fontId="29" fillId="0" borderId="0" xfId="0" applyFont="1" applyAlignment="1">
      <alignment horizontal="justify"/>
    </xf>
    <xf numFmtId="0" fontId="28" fillId="0" borderId="7" xfId="0" applyFont="1" applyBorder="1" applyAlignment="1">
      <alignment wrapText="1"/>
    </xf>
    <xf numFmtId="3" fontId="28" fillId="2" borderId="1" xfId="0" applyNumberFormat="1" applyFont="1" applyFill="1" applyBorder="1" applyAlignment="1">
      <alignment horizontal="center" wrapText="1"/>
    </xf>
    <xf numFmtId="167" fontId="28" fillId="2" borderId="1" xfId="2" applyNumberFormat="1" applyFont="1" applyFill="1" applyBorder="1" applyAlignment="1">
      <alignment horizontal="center" wrapText="1"/>
    </xf>
    <xf numFmtId="171" fontId="28" fillId="0" borderId="1" xfId="1" applyNumberFormat="1" applyFont="1" applyBorder="1" applyAlignment="1"/>
    <xf numFmtId="0" fontId="29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8" fillId="0" borderId="1" xfId="0" applyNumberFormat="1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4" fontId="28" fillId="2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168" fontId="28" fillId="0" borderId="1" xfId="0" applyNumberFormat="1" applyFont="1" applyFill="1" applyBorder="1" applyAlignment="1">
      <alignment horizontal="center" wrapText="1"/>
    </xf>
    <xf numFmtId="167" fontId="28" fillId="0" borderId="1" xfId="2" applyNumberFormat="1" applyFont="1" applyFill="1" applyBorder="1" applyAlignment="1">
      <alignment horizontal="center" wrapText="1"/>
    </xf>
    <xf numFmtId="0" fontId="27" fillId="0" borderId="6" xfId="4" applyFont="1" applyFill="1" applyBorder="1" applyAlignment="1">
      <alignment horizontal="center"/>
    </xf>
    <xf numFmtId="0" fontId="27" fillId="0" borderId="6" xfId="4" applyFont="1" applyFill="1" applyBorder="1" applyAlignment="1">
      <alignment horizontal="left"/>
    </xf>
    <xf numFmtId="0" fontId="27" fillId="0" borderId="6" xfId="4" applyFont="1" applyFill="1" applyBorder="1"/>
    <xf numFmtId="0" fontId="34" fillId="0" borderId="0" xfId="4" applyFont="1" applyFill="1"/>
    <xf numFmtId="0" fontId="34" fillId="0" borderId="0" xfId="4" applyFont="1" applyFill="1" applyAlignment="1">
      <alignment horizontal="right"/>
    </xf>
    <xf numFmtId="0" fontId="27" fillId="0" borderId="0" xfId="4" applyFont="1" applyFill="1"/>
    <xf numFmtId="0" fontId="28" fillId="2" borderId="5" xfId="0" applyFont="1" applyFill="1" applyBorder="1" applyAlignment="1"/>
    <xf numFmtId="0" fontId="28" fillId="2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33" fillId="0" borderId="0" xfId="0" applyFont="1"/>
    <xf numFmtId="164" fontId="28" fillId="0" borderId="0" xfId="0" applyNumberFormat="1" applyFont="1"/>
    <xf numFmtId="164" fontId="31" fillId="0" borderId="0" xfId="0" applyNumberFormat="1" applyFont="1"/>
    <xf numFmtId="165" fontId="28" fillId="0" borderId="1" xfId="1" applyFont="1" applyFill="1" applyBorder="1" applyAlignment="1"/>
    <xf numFmtId="0" fontId="29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74" fontId="28" fillId="0" borderId="1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top" wrapText="1"/>
    </xf>
    <xf numFmtId="171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right" vertical="top" wrapText="1"/>
    </xf>
    <xf numFmtId="0" fontId="31" fillId="0" borderId="1" xfId="0" applyFont="1" applyFill="1" applyBorder="1" applyAlignment="1">
      <alignment horizontal="center" vertical="center" wrapText="1"/>
    </xf>
    <xf numFmtId="174" fontId="31" fillId="0" borderId="1" xfId="0" applyNumberFormat="1" applyFont="1" applyFill="1" applyBorder="1" applyAlignment="1">
      <alignment horizontal="center" vertical="center" wrapText="1"/>
    </xf>
    <xf numFmtId="174" fontId="31" fillId="0" borderId="1" xfId="0" applyNumberFormat="1" applyFont="1" applyFill="1" applyBorder="1" applyAlignment="1">
      <alignment horizontal="center" vertical="top" wrapText="1"/>
    </xf>
    <xf numFmtId="171" fontId="31" fillId="0" borderId="1" xfId="0" applyNumberFormat="1" applyFont="1" applyFill="1" applyBorder="1" applyAlignment="1">
      <alignment horizontal="center" vertical="top" wrapText="1"/>
    </xf>
    <xf numFmtId="173" fontId="28" fillId="0" borderId="1" xfId="0" applyNumberFormat="1" applyFont="1" applyBorder="1" applyAlignment="1">
      <alignment horizontal="center" vertical="top" wrapText="1"/>
    </xf>
    <xf numFmtId="39" fontId="31" fillId="0" borderId="1" xfId="0" applyNumberFormat="1" applyFont="1" applyFill="1" applyBorder="1" applyAlignment="1">
      <alignment horizontal="right" vertical="top" wrapText="1"/>
    </xf>
    <xf numFmtId="0" fontId="31" fillId="5" borderId="1" xfId="0" applyFont="1" applyFill="1" applyBorder="1" applyAlignment="1">
      <alignment horizontal="center" vertical="top" wrapText="1"/>
    </xf>
    <xf numFmtId="173" fontId="31" fillId="5" borderId="1" xfId="0" applyNumberFormat="1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39" fontId="31" fillId="5" borderId="1" xfId="0" applyNumberFormat="1" applyFont="1" applyFill="1" applyBorder="1" applyAlignment="1">
      <alignment horizontal="right" vertical="top" wrapText="1"/>
    </xf>
    <xf numFmtId="165" fontId="6" fillId="0" borderId="0" xfId="0" applyNumberFormat="1" applyFont="1"/>
    <xf numFmtId="0" fontId="3" fillId="0" borderId="0" xfId="0" applyFont="1" applyFill="1"/>
    <xf numFmtId="164" fontId="3" fillId="0" borderId="0" xfId="0" applyNumberFormat="1" applyFont="1"/>
    <xf numFmtId="174" fontId="28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4" fontId="3" fillId="0" borderId="0" xfId="0" applyNumberFormat="1" applyFont="1"/>
    <xf numFmtId="1" fontId="28" fillId="0" borderId="1" xfId="0" applyNumberFormat="1" applyFont="1" applyFill="1" applyBorder="1" applyAlignment="1">
      <alignment horizontal="center" wrapText="1"/>
    </xf>
    <xf numFmtId="171" fontId="28" fillId="0" borderId="1" xfId="0" applyNumberFormat="1" applyFont="1" applyFill="1" applyBorder="1" applyAlignment="1">
      <alignment horizontal="center" vertical="top" wrapText="1"/>
    </xf>
    <xf numFmtId="173" fontId="31" fillId="5" borderId="1" xfId="0" applyNumberFormat="1" applyFont="1" applyFill="1" applyBorder="1" applyAlignment="1">
      <alignment horizontal="center" vertical="center" wrapText="1"/>
    </xf>
    <xf numFmtId="174" fontId="31" fillId="5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top" wrapText="1"/>
    </xf>
    <xf numFmtId="2" fontId="31" fillId="4" borderId="1" xfId="0" applyNumberFormat="1" applyFont="1" applyFill="1" applyBorder="1" applyAlignment="1">
      <alignment horizontal="center" vertical="top" wrapText="1"/>
    </xf>
    <xf numFmtId="174" fontId="28" fillId="4" borderId="1" xfId="0" applyNumberFormat="1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center" wrapText="1"/>
    </xf>
    <xf numFmtId="173" fontId="31" fillId="4" borderId="1" xfId="0" applyNumberFormat="1" applyFont="1" applyFill="1" applyBorder="1" applyAlignment="1">
      <alignment horizontal="center" vertical="top" wrapText="1"/>
    </xf>
    <xf numFmtId="2" fontId="31" fillId="5" borderId="1" xfId="0" applyNumberFormat="1" applyFont="1" applyFill="1" applyBorder="1" applyAlignment="1">
      <alignment horizontal="center" vertical="center" wrapText="1"/>
    </xf>
    <xf numFmtId="174" fontId="31" fillId="6" borderId="1" xfId="0" applyNumberFormat="1" applyFont="1" applyFill="1" applyBorder="1" applyAlignment="1">
      <alignment horizontal="center" vertical="top" wrapText="1"/>
    </xf>
    <xf numFmtId="0" fontId="31" fillId="6" borderId="1" xfId="0" applyFont="1" applyFill="1" applyBorder="1" applyAlignment="1">
      <alignment horizontal="center" vertical="center" wrapText="1"/>
    </xf>
    <xf numFmtId="173" fontId="31" fillId="6" borderId="1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 wrapText="1"/>
    </xf>
    <xf numFmtId="174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center" wrapText="1"/>
    </xf>
    <xf numFmtId="175" fontId="31" fillId="0" borderId="0" xfId="0" applyNumberFormat="1" applyFont="1" applyBorder="1" applyAlignment="1">
      <alignment horizontal="center" vertical="center" wrapText="1"/>
    </xf>
    <xf numFmtId="170" fontId="28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wrapText="1"/>
    </xf>
    <xf numFmtId="165" fontId="28" fillId="0" borderId="0" xfId="0" applyNumberFormat="1" applyFont="1"/>
    <xf numFmtId="0" fontId="16" fillId="0" borderId="6" xfId="4" applyFont="1" applyFill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3" fontId="28" fillId="0" borderId="1" xfId="0" applyNumberFormat="1" applyFont="1" applyBorder="1" applyAlignment="1">
      <alignment horizontal="center" wrapText="1"/>
    </xf>
    <xf numFmtId="4" fontId="28" fillId="0" borderId="1" xfId="0" applyNumberFormat="1" applyFont="1" applyBorder="1" applyAlignment="1">
      <alignment horizontal="center" wrapText="1"/>
    </xf>
    <xf numFmtId="0" fontId="16" fillId="0" borderId="0" xfId="4" applyFont="1" applyFill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top"/>
    </xf>
    <xf numFmtId="165" fontId="6" fillId="0" borderId="0" xfId="1" applyNumberFormat="1" applyFont="1" applyAlignment="1">
      <alignment horizontal="center" vertical="top"/>
    </xf>
    <xf numFmtId="0" fontId="32" fillId="0" borderId="0" xfId="0" applyFont="1" applyBorder="1" applyAlignment="1">
      <alignment horizontal="center" vertical="top" wrapText="1"/>
    </xf>
    <xf numFmtId="165" fontId="6" fillId="0" borderId="0" xfId="1" applyNumberFormat="1" applyFont="1" applyAlignment="1">
      <alignment horizontal="center" vertical="center"/>
    </xf>
    <xf numFmtId="0" fontId="38" fillId="0" borderId="0" xfId="0" applyFont="1"/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6" fillId="0" borderId="0" xfId="0" applyNumberFormat="1" applyFont="1"/>
    <xf numFmtId="2" fontId="28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3" fontId="28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4" fontId="28" fillId="0" borderId="1" xfId="0" applyNumberFormat="1" applyFont="1" applyFill="1" applyBorder="1" applyAlignment="1">
      <alignment horizontal="center" wrapText="1"/>
    </xf>
    <xf numFmtId="171" fontId="31" fillId="0" borderId="1" xfId="0" applyNumberFormat="1" applyFont="1" applyBorder="1" applyAlignment="1">
      <alignment horizontal="center" vertical="top" wrapText="1"/>
    </xf>
    <xf numFmtId="171" fontId="31" fillId="3" borderId="1" xfId="0" applyNumberFormat="1" applyFont="1" applyFill="1" applyBorder="1" applyAlignment="1">
      <alignment horizontal="center" vertical="center" wrapText="1"/>
    </xf>
    <xf numFmtId="165" fontId="28" fillId="2" borderId="1" xfId="1" applyFont="1" applyFill="1" applyBorder="1" applyAlignment="1"/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173" fontId="35" fillId="0" borderId="0" xfId="4" applyNumberFormat="1" applyFont="1" applyFill="1"/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71" fontId="28" fillId="2" borderId="1" xfId="1" applyNumberFormat="1" applyFont="1" applyFill="1" applyBorder="1" applyAlignment="1"/>
    <xf numFmtId="0" fontId="16" fillId="0" borderId="6" xfId="4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NumberFormat="1" applyFont="1" applyBorder="1" applyAlignment="1">
      <alignment horizontal="center" vertical="top" wrapText="1"/>
    </xf>
    <xf numFmtId="0" fontId="31" fillId="5" borderId="1" xfId="0" applyNumberFormat="1" applyFont="1" applyFill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0" fontId="16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20" fillId="7" borderId="0" xfId="4" applyFont="1" applyFill="1"/>
    <xf numFmtId="0" fontId="40" fillId="0" borderId="0" xfId="4" applyFont="1" applyFill="1"/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7" borderId="1" xfId="0" applyFont="1" applyFill="1" applyBorder="1" applyAlignment="1">
      <alignment horizontal="center"/>
    </xf>
    <xf numFmtId="3" fontId="28" fillId="7" borderId="1" xfId="0" applyNumberFormat="1" applyFont="1" applyFill="1" applyBorder="1" applyAlignment="1">
      <alignment horizontal="center" wrapText="1"/>
    </xf>
    <xf numFmtId="3" fontId="28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16" fillId="0" borderId="0" xfId="4" applyFont="1" applyFill="1" applyAlignment="1">
      <alignment horizontal="center"/>
    </xf>
    <xf numFmtId="0" fontId="16" fillId="7" borderId="0" xfId="4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4" applyFont="1" applyFill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0" fontId="41" fillId="0" borderId="0" xfId="4" applyFont="1" applyFill="1" applyAlignment="1">
      <alignment horizontal="left"/>
    </xf>
    <xf numFmtId="0" fontId="19" fillId="0" borderId="0" xfId="4" applyFont="1" applyFill="1" applyAlignment="1">
      <alignment horizontal="left"/>
    </xf>
    <xf numFmtId="14" fontId="16" fillId="7" borderId="1" xfId="4" applyNumberFormat="1" applyFont="1" applyFill="1" applyBorder="1" applyAlignment="1"/>
    <xf numFmtId="0" fontId="16" fillId="0" borderId="1" xfId="4" applyFont="1" applyFill="1" applyBorder="1" applyAlignment="1"/>
    <xf numFmtId="0" fontId="25" fillId="0" borderId="1" xfId="4" applyFont="1" applyFill="1" applyBorder="1" applyAlignment="1"/>
    <xf numFmtId="0" fontId="24" fillId="0" borderId="10" xfId="4" applyFont="1" applyFill="1" applyBorder="1"/>
    <xf numFmtId="0" fontId="23" fillId="0" borderId="10" xfId="4" applyFont="1" applyFill="1" applyBorder="1" applyAlignment="1"/>
    <xf numFmtId="0" fontId="21" fillId="0" borderId="0" xfId="4" applyFont="1" applyAlignment="1">
      <alignment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left" vertical="top" wrapText="1" indent="1"/>
    </xf>
    <xf numFmtId="49" fontId="32" fillId="0" borderId="1" xfId="0" applyNumberFormat="1" applyFont="1" applyBorder="1" applyAlignment="1">
      <alignment horizontal="center" wrapText="1"/>
    </xf>
    <xf numFmtId="49" fontId="32" fillId="0" borderId="1" xfId="0" applyNumberFormat="1" applyFont="1" applyBorder="1" applyAlignment="1">
      <alignment wrapText="1"/>
    </xf>
    <xf numFmtId="0" fontId="21" fillId="0" borderId="0" xfId="4" applyFont="1" applyAlignment="1">
      <alignment horizontal="left"/>
    </xf>
    <xf numFmtId="0" fontId="42" fillId="0" borderId="1" xfId="0" applyFont="1" applyBorder="1" applyAlignment="1">
      <alignment vertical="top" wrapText="1"/>
    </xf>
    <xf numFmtId="49" fontId="42" fillId="0" borderId="1" xfId="0" applyNumberFormat="1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36" fillId="0" borderId="0" xfId="0" applyFont="1"/>
    <xf numFmtId="0" fontId="42" fillId="0" borderId="1" xfId="0" applyFont="1" applyBorder="1" applyAlignment="1">
      <alignment horizontal="left" vertical="top" wrapText="1" indent="1"/>
    </xf>
    <xf numFmtId="0" fontId="32" fillId="0" borderId="1" xfId="0" applyFont="1" applyBorder="1" applyAlignment="1">
      <alignment horizontal="justify" vertical="top" wrapText="1"/>
    </xf>
    <xf numFmtId="0" fontId="43" fillId="0" borderId="1" xfId="10" applyBorder="1" applyAlignment="1" applyProtection="1">
      <alignment vertical="top" wrapText="1"/>
    </xf>
    <xf numFmtId="0" fontId="35" fillId="0" borderId="10" xfId="4" applyFont="1" applyFill="1" applyBorder="1" applyAlignment="1">
      <alignment vertical="top"/>
    </xf>
    <xf numFmtId="0" fontId="24" fillId="0" borderId="0" xfId="4" applyFont="1" applyFill="1" applyBorder="1" applyAlignment="1">
      <alignment vertical="top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top" wrapText="1"/>
    </xf>
    <xf numFmtId="0" fontId="21" fillId="0" borderId="0" xfId="4" applyFont="1" applyFill="1"/>
    <xf numFmtId="165" fontId="42" fillId="0" borderId="1" xfId="1" applyFont="1" applyBorder="1" applyAlignment="1">
      <alignment wrapText="1"/>
    </xf>
    <xf numFmtId="165" fontId="32" fillId="0" borderId="1" xfId="1" applyFont="1" applyBorder="1" applyAlignment="1">
      <alignment wrapText="1"/>
    </xf>
    <xf numFmtId="165" fontId="32" fillId="0" borderId="1" xfId="1" applyFont="1" applyBorder="1" applyAlignment="1">
      <alignment vertical="top" wrapText="1"/>
    </xf>
    <xf numFmtId="0" fontId="16" fillId="0" borderId="0" xfId="4" applyFont="1" applyFill="1" applyAlignment="1">
      <alignment horizontal="center"/>
    </xf>
    <xf numFmtId="0" fontId="34" fillId="0" borderId="0" xfId="4" applyFont="1" applyFill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16" fillId="0" borderId="0" xfId="4" applyFont="1" applyFill="1" applyAlignment="1">
      <alignment horizontal="center"/>
    </xf>
    <xf numFmtId="165" fontId="32" fillId="0" borderId="1" xfId="1" applyFont="1" applyBorder="1" applyAlignment="1">
      <alignment wrapText="1"/>
    </xf>
    <xf numFmtId="0" fontId="32" fillId="0" borderId="1" xfId="0" applyFont="1" applyBorder="1" applyAlignment="1">
      <alignment horizontal="center" vertical="top" wrapText="1"/>
    </xf>
    <xf numFmtId="0" fontId="34" fillId="0" borderId="0" xfId="4" applyFont="1" applyFill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8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3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4" fontId="28" fillId="2" borderId="3" xfId="0" applyNumberFormat="1" applyFont="1" applyFill="1" applyBorder="1" applyAlignment="1">
      <alignment horizontal="center" wrapText="1"/>
    </xf>
    <xf numFmtId="4" fontId="28" fillId="2" borderId="5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center" wrapText="1"/>
    </xf>
    <xf numFmtId="165" fontId="28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0" fontId="28" fillId="0" borderId="7" xfId="0" applyFont="1" applyBorder="1" applyAlignment="1">
      <alignment horizontal="center" vertical="top" wrapText="1"/>
    </xf>
    <xf numFmtId="165" fontId="6" fillId="0" borderId="0" xfId="1" applyNumberFormat="1" applyFont="1" applyBorder="1" applyAlignment="1">
      <alignment horizontal="center" vertical="top"/>
    </xf>
    <xf numFmtId="165" fontId="6" fillId="0" borderId="0" xfId="1" applyNumberFormat="1" applyFont="1" applyAlignment="1">
      <alignment horizontal="center" vertical="top"/>
    </xf>
    <xf numFmtId="171" fontId="27" fillId="0" borderId="1" xfId="1" applyNumberFormat="1" applyFont="1" applyBorder="1" applyAlignment="1">
      <alignment horizontal="center"/>
    </xf>
    <xf numFmtId="165" fontId="27" fillId="0" borderId="1" xfId="1" applyFont="1" applyBorder="1" applyAlignment="1"/>
    <xf numFmtId="165" fontId="44" fillId="0" borderId="0" xfId="1" applyFont="1"/>
    <xf numFmtId="0" fontId="44" fillId="0" borderId="0" xfId="0" applyFont="1"/>
    <xf numFmtId="165" fontId="45" fillId="0" borderId="0" xfId="1" applyFont="1"/>
    <xf numFmtId="0" fontId="45" fillId="0" borderId="0" xfId="0" applyFont="1"/>
    <xf numFmtId="165" fontId="27" fillId="0" borderId="0" xfId="1" applyFont="1"/>
    <xf numFmtId="0" fontId="27" fillId="0" borderId="0" xfId="0" applyFont="1"/>
    <xf numFmtId="165" fontId="27" fillId="0" borderId="1" xfId="1" applyFont="1" applyBorder="1" applyAlignment="1">
      <alignment horizontal="center"/>
    </xf>
    <xf numFmtId="0" fontId="27" fillId="7" borderId="1" xfId="0" applyFont="1" applyFill="1" applyBorder="1" applyAlignment="1">
      <alignment horizontal="center" wrapText="1"/>
    </xf>
    <xf numFmtId="171" fontId="27" fillId="7" borderId="1" xfId="1" applyNumberFormat="1" applyFont="1" applyFill="1" applyBorder="1" applyAlignment="1">
      <alignment horizontal="center"/>
    </xf>
    <xf numFmtId="165" fontId="27" fillId="7" borderId="1" xfId="1" applyFont="1" applyFill="1" applyBorder="1" applyAlignment="1"/>
    <xf numFmtId="165" fontId="44" fillId="7" borderId="0" xfId="1" applyFont="1" applyFill="1"/>
    <xf numFmtId="0" fontId="44" fillId="7" borderId="0" xfId="0" applyFont="1" applyFill="1"/>
    <xf numFmtId="164" fontId="44" fillId="7" borderId="0" xfId="0" applyNumberFormat="1" applyFont="1" applyFill="1"/>
    <xf numFmtId="165" fontId="27" fillId="7" borderId="0" xfId="1" applyFont="1" applyFill="1"/>
    <xf numFmtId="0" fontId="27" fillId="7" borderId="0" xfId="0" applyFont="1" applyFill="1"/>
    <xf numFmtId="165" fontId="27" fillId="7" borderId="1" xfId="1" applyFont="1" applyFill="1" applyBorder="1" applyAlignment="1">
      <alignment horizontal="center"/>
    </xf>
    <xf numFmtId="171" fontId="27" fillId="0" borderId="1" xfId="1" applyNumberFormat="1" applyFont="1" applyBorder="1" applyAlignment="1"/>
    <xf numFmtId="0" fontId="46" fillId="0" borderId="1" xfId="0" applyFont="1" applyBorder="1" applyAlignment="1">
      <alignment horizontal="center" wrapText="1"/>
    </xf>
    <xf numFmtId="171" fontId="27" fillId="0" borderId="1" xfId="1" applyNumberFormat="1" applyFont="1" applyFill="1" applyBorder="1" applyAlignment="1"/>
    <xf numFmtId="165" fontId="27" fillId="0" borderId="1" xfId="1" applyFont="1" applyFill="1" applyBorder="1" applyAlignment="1"/>
    <xf numFmtId="164" fontId="27" fillId="0" borderId="0" xfId="0" applyNumberFormat="1" applyFont="1" applyFill="1"/>
    <xf numFmtId="0" fontId="44" fillId="0" borderId="0" xfId="0" applyFont="1" applyFill="1"/>
    <xf numFmtId="0" fontId="27" fillId="0" borderId="0" xfId="0" applyFont="1" applyFill="1"/>
    <xf numFmtId="165" fontId="27" fillId="0" borderId="0" xfId="0" applyNumberFormat="1" applyFont="1" applyFill="1"/>
    <xf numFmtId="164" fontId="7" fillId="0" borderId="0" xfId="0" applyNumberFormat="1" applyFont="1"/>
    <xf numFmtId="0" fontId="16" fillId="0" borderId="0" xfId="4" applyFont="1" applyFill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0" fontId="34" fillId="0" borderId="0" xfId="4" applyFont="1" applyFill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" fontId="28" fillId="0" borderId="1" xfId="0" applyNumberFormat="1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32" fillId="0" borderId="3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top"/>
    </xf>
    <xf numFmtId="165" fontId="6" fillId="0" borderId="0" xfId="1" applyNumberFormat="1" applyFont="1" applyAlignment="1">
      <alignment horizontal="center" vertical="top"/>
    </xf>
    <xf numFmtId="0" fontId="27" fillId="9" borderId="1" xfId="0" applyFont="1" applyFill="1" applyBorder="1" applyAlignment="1">
      <alignment horizontal="center" wrapText="1"/>
    </xf>
    <xf numFmtId="171" fontId="27" fillId="9" borderId="1" xfId="1" applyNumberFormat="1" applyFont="1" applyFill="1" applyBorder="1" applyAlignment="1">
      <alignment horizontal="center"/>
    </xf>
    <xf numFmtId="165" fontId="27" fillId="9" borderId="1" xfId="1" applyFont="1" applyFill="1" applyBorder="1" applyAlignment="1"/>
    <xf numFmtId="164" fontId="44" fillId="0" borderId="0" xfId="0" applyNumberFormat="1" applyFont="1"/>
    <xf numFmtId="165" fontId="27" fillId="9" borderId="1" xfId="1" applyFont="1" applyFill="1" applyBorder="1" applyAlignment="1">
      <alignment horizontal="center"/>
    </xf>
    <xf numFmtId="171" fontId="27" fillId="9" borderId="1" xfId="1" applyNumberFormat="1" applyFont="1" applyFill="1" applyBorder="1" applyAlignment="1"/>
    <xf numFmtId="164" fontId="27" fillId="0" borderId="0" xfId="0" applyNumberFormat="1" applyFont="1"/>
    <xf numFmtId="165" fontId="27" fillId="0" borderId="0" xfId="0" applyNumberFormat="1" applyFont="1"/>
    <xf numFmtId="0" fontId="46" fillId="0" borderId="1" xfId="0" applyFont="1" applyBorder="1" applyAlignment="1">
      <alignment horizontal="center" vertical="top" wrapText="1"/>
    </xf>
    <xf numFmtId="0" fontId="35" fillId="0" borderId="0" xfId="0" applyFont="1"/>
    <xf numFmtId="0" fontId="47" fillId="8" borderId="1" xfId="0" applyFont="1" applyFill="1" applyBorder="1" applyAlignment="1">
      <alignment vertical="center" wrapText="1"/>
    </xf>
    <xf numFmtId="165" fontId="35" fillId="0" borderId="0" xfId="1" applyNumberFormat="1" applyFont="1" applyAlignment="1">
      <alignment vertical="top"/>
    </xf>
    <xf numFmtId="0" fontId="32" fillId="0" borderId="0" xfId="0" applyFont="1" applyBorder="1"/>
    <xf numFmtId="0" fontId="28" fillId="0" borderId="0" xfId="0" applyFont="1" applyBorder="1"/>
    <xf numFmtId="173" fontId="28" fillId="0" borderId="0" xfId="0" applyNumberFormat="1" applyFont="1" applyBorder="1"/>
    <xf numFmtId="4" fontId="28" fillId="0" borderId="0" xfId="0" applyNumberFormat="1" applyFont="1" applyBorder="1"/>
    <xf numFmtId="0" fontId="48" fillId="8" borderId="1" xfId="0" applyFont="1" applyFill="1" applyBorder="1" applyAlignment="1">
      <alignment vertical="center" wrapText="1"/>
    </xf>
    <xf numFmtId="16" fontId="32" fillId="0" borderId="0" xfId="0" applyNumberFormat="1" applyFont="1"/>
    <xf numFmtId="164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165" fontId="33" fillId="0" borderId="0" xfId="1" applyNumberFormat="1" applyFont="1" applyAlignment="1">
      <alignment vertical="top"/>
    </xf>
    <xf numFmtId="0" fontId="28" fillId="0" borderId="0" xfId="0" applyFont="1" applyAlignment="1">
      <alignment horizontal="center" vertical="center"/>
    </xf>
    <xf numFmtId="165" fontId="27" fillId="0" borderId="1" xfId="1" applyFont="1" applyBorder="1" applyAlignment="1"/>
    <xf numFmtId="165" fontId="35" fillId="0" borderId="0" xfId="1" applyNumberFormat="1" applyFont="1" applyAlignment="1">
      <alignment vertical="center"/>
    </xf>
    <xf numFmtId="164" fontId="33" fillId="0" borderId="0" xfId="0" applyNumberFormat="1" applyFont="1"/>
    <xf numFmtId="0" fontId="32" fillId="0" borderId="1" xfId="0" applyFont="1" applyBorder="1" applyAlignment="1">
      <alignment horizontal="center" wrapText="1"/>
    </xf>
    <xf numFmtId="165" fontId="32" fillId="0" borderId="1" xfId="1" applyFont="1" applyBorder="1" applyAlignment="1">
      <alignment wrapText="1"/>
    </xf>
    <xf numFmtId="0" fontId="25" fillId="0" borderId="0" xfId="4" applyFont="1" applyFill="1" applyAlignment="1">
      <alignment horizontal="left"/>
    </xf>
    <xf numFmtId="0" fontId="19" fillId="0" borderId="0" xfId="4" applyFont="1" applyFill="1" applyBorder="1" applyAlignment="1">
      <alignment horizontal="left" wrapText="1"/>
    </xf>
    <xf numFmtId="0" fontId="22" fillId="0" borderId="0" xfId="4" applyFont="1" applyFill="1" applyAlignment="1">
      <alignment horizontal="center"/>
    </xf>
    <xf numFmtId="0" fontId="19" fillId="0" borderId="6" xfId="4" applyFont="1" applyFill="1" applyBorder="1" applyAlignment="1">
      <alignment horizontal="center" wrapText="1"/>
    </xf>
    <xf numFmtId="0" fontId="16" fillId="0" borderId="0" xfId="4" applyFont="1" applyFill="1" applyAlignment="1">
      <alignment horizontal="center"/>
    </xf>
    <xf numFmtId="0" fontId="16" fillId="7" borderId="0" xfId="4" applyFont="1" applyFill="1" applyAlignment="1">
      <alignment horizontal="center"/>
    </xf>
    <xf numFmtId="0" fontId="24" fillId="0" borderId="0" xfId="4" applyFont="1" applyFill="1" applyAlignment="1">
      <alignment horizontal="center"/>
    </xf>
    <xf numFmtId="0" fontId="24" fillId="0" borderId="0" xfId="4" applyFont="1" applyFill="1" applyAlignment="1">
      <alignment horizontal="center" vertical="top" wrapText="1"/>
    </xf>
    <xf numFmtId="0" fontId="22" fillId="0" borderId="0" xfId="0" applyFont="1" applyFill="1" applyAlignment="1">
      <alignment horizontal="center"/>
    </xf>
    <xf numFmtId="0" fontId="24" fillId="0" borderId="10" xfId="4" applyFont="1" applyFill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165" fontId="32" fillId="0" borderId="1" xfId="1" applyFont="1" applyBorder="1" applyAlignment="1">
      <alignment wrapText="1"/>
    </xf>
    <xf numFmtId="49" fontId="32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 wrapText="1" indent="1"/>
    </xf>
    <xf numFmtId="0" fontId="0" fillId="0" borderId="6" xfId="0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27" fillId="0" borderId="0" xfId="4" applyFont="1" applyFill="1" applyAlignment="1">
      <alignment horizontal="right"/>
    </xf>
    <xf numFmtId="0" fontId="35" fillId="0" borderId="10" xfId="4" applyFont="1" applyFill="1" applyBorder="1" applyAlignment="1">
      <alignment horizontal="center" vertical="top"/>
    </xf>
    <xf numFmtId="0" fontId="34" fillId="0" borderId="0" xfId="4" applyFont="1" applyFill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8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2" fontId="27" fillId="0" borderId="1" xfId="0" applyNumberFormat="1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165" fontId="27" fillId="0" borderId="7" xfId="0" applyNumberFormat="1" applyFont="1" applyFill="1" applyBorder="1" applyAlignment="1">
      <alignment horizontal="center" wrapText="1"/>
    </xf>
    <xf numFmtId="0" fontId="31" fillId="5" borderId="1" xfId="0" applyFont="1" applyFill="1" applyBorder="1" applyAlignment="1">
      <alignment horizontal="right" vertical="top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5" fontId="39" fillId="0" borderId="1" xfId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left" vertical="top" wrapText="1"/>
    </xf>
    <xf numFmtId="0" fontId="31" fillId="0" borderId="4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31" fillId="3" borderId="1" xfId="0" applyFont="1" applyFill="1" applyBorder="1" applyAlignment="1">
      <alignment horizontal="right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165" fontId="28" fillId="2" borderId="3" xfId="0" applyNumberFormat="1" applyFont="1" applyFill="1" applyBorder="1" applyAlignment="1"/>
    <xf numFmtId="165" fontId="28" fillId="2" borderId="5" xfId="0" applyNumberFormat="1" applyFont="1" applyFill="1" applyBorder="1" applyAlignment="1"/>
    <xf numFmtId="0" fontId="31" fillId="4" borderId="1" xfId="0" applyFont="1" applyFill="1" applyBorder="1" applyAlignment="1">
      <alignment horizontal="right" wrapText="1"/>
    </xf>
    <xf numFmtId="0" fontId="31" fillId="4" borderId="1" xfId="0" applyFont="1" applyFill="1" applyBorder="1" applyAlignment="1">
      <alignment horizontal="center" wrapText="1"/>
    </xf>
    <xf numFmtId="165" fontId="31" fillId="4" borderId="1" xfId="1" applyFont="1" applyFill="1" applyBorder="1" applyAlignment="1"/>
    <xf numFmtId="0" fontId="31" fillId="0" borderId="3" xfId="0" applyFont="1" applyBorder="1" applyAlignment="1">
      <alignment horizontal="right" wrapText="1"/>
    </xf>
    <xf numFmtId="0" fontId="31" fillId="0" borderId="4" xfId="0" applyFont="1" applyBorder="1" applyAlignment="1">
      <alignment horizontal="right" wrapText="1"/>
    </xf>
    <xf numFmtId="0" fontId="31" fillId="0" borderId="5" xfId="0" applyFont="1" applyBorder="1" applyAlignment="1">
      <alignment horizontal="right" wrapText="1"/>
    </xf>
    <xf numFmtId="0" fontId="31" fillId="0" borderId="3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165" fontId="31" fillId="0" borderId="3" xfId="1" applyFont="1" applyBorder="1" applyAlignment="1"/>
    <xf numFmtId="165" fontId="31" fillId="0" borderId="5" xfId="1" applyFont="1" applyBorder="1" applyAlignment="1"/>
    <xf numFmtId="0" fontId="28" fillId="0" borderId="3" xfId="0" applyFont="1" applyBorder="1" applyAlignment="1">
      <alignment horizontal="left" wrapText="1"/>
    </xf>
    <xf numFmtId="0" fontId="28" fillId="0" borderId="4" xfId="0" applyFont="1" applyBorder="1" applyAlignment="1">
      <alignment horizontal="left" wrapText="1"/>
    </xf>
    <xf numFmtId="0" fontId="28" fillId="0" borderId="5" xfId="0" applyFont="1" applyBorder="1" applyAlignment="1">
      <alignment horizontal="left" wrapText="1"/>
    </xf>
    <xf numFmtId="0" fontId="28" fillId="0" borderId="3" xfId="0" applyFont="1" applyBorder="1" applyAlignment="1"/>
    <xf numFmtId="0" fontId="28" fillId="0" borderId="5" xfId="0" applyFont="1" applyBorder="1" applyAlignment="1"/>
    <xf numFmtId="165" fontId="28" fillId="0" borderId="3" xfId="0" applyNumberFormat="1" applyFont="1" applyBorder="1" applyAlignment="1"/>
    <xf numFmtId="165" fontId="28" fillId="0" borderId="5" xfId="0" applyNumberFormat="1" applyFont="1" applyBorder="1" applyAlignment="1"/>
    <xf numFmtId="0" fontId="28" fillId="0" borderId="3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5" xfId="0" applyFont="1" applyBorder="1" applyAlignment="1">
      <alignment wrapText="1"/>
    </xf>
    <xf numFmtId="169" fontId="28" fillId="0" borderId="3" xfId="1" applyNumberFormat="1" applyFont="1" applyBorder="1" applyAlignment="1"/>
    <xf numFmtId="169" fontId="28" fillId="0" borderId="5" xfId="1" applyNumberFormat="1" applyFont="1" applyBorder="1" applyAlignment="1"/>
    <xf numFmtId="0" fontId="27" fillId="0" borderId="12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horizontal="left" wrapText="1"/>
    </xf>
    <xf numFmtId="0" fontId="27" fillId="0" borderId="13" xfId="0" applyFont="1" applyFill="1" applyBorder="1" applyAlignment="1">
      <alignment horizontal="left" wrapText="1"/>
    </xf>
    <xf numFmtId="3" fontId="28" fillId="0" borderId="8" xfId="0" applyNumberFormat="1" applyFont="1" applyFill="1" applyBorder="1" applyAlignment="1">
      <alignment horizontal="center" wrapText="1"/>
    </xf>
    <xf numFmtId="165" fontId="27" fillId="0" borderId="8" xfId="1" applyNumberFormat="1" applyFont="1" applyFill="1" applyBorder="1" applyAlignment="1">
      <alignment horizontal="center" wrapText="1"/>
    </xf>
    <xf numFmtId="0" fontId="28" fillId="2" borderId="3" xfId="0" applyFont="1" applyFill="1" applyBorder="1" applyAlignment="1">
      <alignment wrapText="1"/>
    </xf>
    <xf numFmtId="0" fontId="28" fillId="2" borderId="4" xfId="0" applyFont="1" applyFill="1" applyBorder="1" applyAlignment="1">
      <alignment wrapText="1"/>
    </xf>
    <xf numFmtId="0" fontId="28" fillId="2" borderId="5" xfId="0" applyFont="1" applyFill="1" applyBorder="1" applyAlignment="1">
      <alignment wrapText="1"/>
    </xf>
    <xf numFmtId="0" fontId="28" fillId="2" borderId="3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165" fontId="39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34" fillId="0" borderId="3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right" vertical="top" wrapText="1"/>
    </xf>
    <xf numFmtId="0" fontId="27" fillId="0" borderId="3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 wrapText="1"/>
    </xf>
    <xf numFmtId="0" fontId="32" fillId="0" borderId="3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169" fontId="28" fillId="2" borderId="3" xfId="1" applyNumberFormat="1" applyFont="1" applyFill="1" applyBorder="1" applyAlignment="1"/>
    <xf numFmtId="169" fontId="28" fillId="2" borderId="5" xfId="1" applyNumberFormat="1" applyFont="1" applyFill="1" applyBorder="1" applyAlignment="1"/>
    <xf numFmtId="0" fontId="6" fillId="0" borderId="0" xfId="0" applyFont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28" fillId="2" borderId="3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horizontal="left" wrapText="1"/>
    </xf>
    <xf numFmtId="0" fontId="28" fillId="2" borderId="5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28" fillId="2" borderId="1" xfId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167" fontId="28" fillId="0" borderId="1" xfId="0" applyNumberFormat="1" applyFont="1" applyBorder="1" applyAlignment="1">
      <alignment horizontal="center" wrapText="1"/>
    </xf>
    <xf numFmtId="165" fontId="28" fillId="0" borderId="1" xfId="1" applyFont="1" applyBorder="1" applyAlignment="1">
      <alignment horizontal="center" wrapText="1"/>
    </xf>
    <xf numFmtId="0" fontId="31" fillId="0" borderId="1" xfId="0" applyFont="1" applyBorder="1" applyAlignment="1">
      <alignment horizontal="right" wrapText="1"/>
    </xf>
    <xf numFmtId="0" fontId="31" fillId="0" borderId="1" xfId="0" applyFont="1" applyBorder="1" applyAlignment="1">
      <alignment horizontal="center" wrapText="1"/>
    </xf>
    <xf numFmtId="165" fontId="31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left" wrapText="1"/>
    </xf>
    <xf numFmtId="3" fontId="28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173" fontId="31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173" fontId="28" fillId="0" borderId="1" xfId="0" applyNumberFormat="1" applyFont="1" applyBorder="1" applyAlignment="1">
      <alignment horizontal="center" wrapText="1"/>
    </xf>
    <xf numFmtId="4" fontId="28" fillId="0" borderId="3" xfId="0" applyNumberFormat="1" applyFont="1" applyBorder="1" applyAlignment="1">
      <alignment horizontal="center" wrapText="1"/>
    </xf>
    <xf numFmtId="4" fontId="28" fillId="0" borderId="5" xfId="0" applyNumberFormat="1" applyFont="1" applyBorder="1" applyAlignment="1">
      <alignment horizontal="center" wrapText="1"/>
    </xf>
    <xf numFmtId="4" fontId="28" fillId="2" borderId="3" xfId="0" applyNumberFormat="1" applyFont="1" applyFill="1" applyBorder="1" applyAlignment="1">
      <alignment horizontal="center" wrapText="1"/>
    </xf>
    <xf numFmtId="4" fontId="28" fillId="2" borderId="5" xfId="0" applyNumberFormat="1" applyFont="1" applyFill="1" applyBorder="1" applyAlignment="1">
      <alignment horizontal="center" wrapText="1"/>
    </xf>
    <xf numFmtId="165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32" fillId="0" borderId="7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horizontal="left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right" wrapText="1"/>
    </xf>
    <xf numFmtId="165" fontId="39" fillId="0" borderId="1" xfId="0" applyNumberFormat="1" applyFont="1" applyBorder="1" applyAlignment="1"/>
    <xf numFmtId="0" fontId="39" fillId="0" borderId="1" xfId="0" applyFont="1" applyBorder="1" applyAlignment="1"/>
    <xf numFmtId="0" fontId="27" fillId="0" borderId="1" xfId="0" applyFont="1" applyFill="1" applyBorder="1" applyAlignment="1">
      <alignment horizontal="left" wrapText="1"/>
    </xf>
    <xf numFmtId="0" fontId="30" fillId="0" borderId="4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28" fillId="0" borderId="3" xfId="0" applyFont="1" applyBorder="1" applyAlignment="1">
      <alignment horizontal="right" wrapText="1"/>
    </xf>
    <xf numFmtId="0" fontId="28" fillId="0" borderId="4" xfId="0" applyFont="1" applyBorder="1" applyAlignment="1">
      <alignment horizontal="right" wrapText="1"/>
    </xf>
    <xf numFmtId="0" fontId="28" fillId="0" borderId="5" xfId="0" applyFont="1" applyBorder="1" applyAlignment="1">
      <alignment horizontal="right" wrapText="1"/>
    </xf>
    <xf numFmtId="165" fontId="28" fillId="0" borderId="3" xfId="1" applyFont="1" applyFill="1" applyBorder="1" applyAlignment="1"/>
    <xf numFmtId="165" fontId="28" fillId="0" borderId="5" xfId="1" applyFont="1" applyFill="1" applyBorder="1" applyAlignment="1"/>
    <xf numFmtId="0" fontId="28" fillId="0" borderId="3" xfId="0" applyFont="1" applyFill="1" applyBorder="1" applyAlignment="1">
      <alignment horizontal="right" wrapText="1"/>
    </xf>
    <xf numFmtId="0" fontId="28" fillId="0" borderId="4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 wrapText="1"/>
    </xf>
    <xf numFmtId="165" fontId="28" fillId="0" borderId="4" xfId="1" applyFont="1" applyBorder="1" applyAlignment="1"/>
    <xf numFmtId="165" fontId="28" fillId="0" borderId="5" xfId="1" applyFont="1" applyBorder="1" applyAlignment="1"/>
    <xf numFmtId="0" fontId="28" fillId="0" borderId="1" xfId="0" applyFont="1" applyBorder="1" applyAlignment="1">
      <alignment horizontal="right" wrapText="1"/>
    </xf>
    <xf numFmtId="4" fontId="28" fillId="0" borderId="1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right" wrapText="1"/>
    </xf>
    <xf numFmtId="4" fontId="28" fillId="7" borderId="1" xfId="0" applyNumberFormat="1" applyFont="1" applyFill="1" applyBorder="1" applyAlignment="1">
      <alignment horizontal="center" wrapText="1"/>
    </xf>
    <xf numFmtId="165" fontId="28" fillId="7" borderId="4" xfId="1" applyFont="1" applyFill="1" applyBorder="1" applyAlignment="1"/>
    <xf numFmtId="165" fontId="28" fillId="7" borderId="5" xfId="1" applyFont="1" applyFill="1" applyBorder="1" applyAlignment="1"/>
    <xf numFmtId="165" fontId="31" fillId="0" borderId="4" xfId="1" applyFont="1" applyBorder="1" applyAlignment="1"/>
    <xf numFmtId="165" fontId="31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30" fillId="5" borderId="4" xfId="0" applyFont="1" applyFill="1" applyBorder="1" applyAlignment="1">
      <alignment horizontal="center"/>
    </xf>
    <xf numFmtId="165" fontId="28" fillId="2" borderId="4" xfId="1" applyFont="1" applyFill="1" applyBorder="1" applyAlignment="1"/>
    <xf numFmtId="165" fontId="28" fillId="2" borderId="5" xfId="1" applyFont="1" applyFill="1" applyBorder="1" applyAlignment="1"/>
    <xf numFmtId="165" fontId="28" fillId="2" borderId="3" xfId="1" applyFont="1" applyFill="1" applyBorder="1" applyAlignment="1"/>
    <xf numFmtId="0" fontId="28" fillId="0" borderId="3" xfId="0" applyFont="1" applyBorder="1" applyAlignment="1">
      <alignment horizontal="justify" wrapText="1"/>
    </xf>
    <xf numFmtId="0" fontId="28" fillId="0" borderId="4" xfId="0" applyFont="1" applyBorder="1" applyAlignment="1">
      <alignment horizontal="justify" wrapText="1"/>
    </xf>
    <xf numFmtId="0" fontId="28" fillId="0" borderId="5" xfId="0" applyFont="1" applyBorder="1" applyAlignment="1">
      <alignment horizontal="justify" wrapText="1"/>
    </xf>
    <xf numFmtId="0" fontId="30" fillId="7" borderId="0" xfId="0" applyFont="1" applyFill="1" applyAlignment="1">
      <alignment horizontal="center"/>
    </xf>
    <xf numFmtId="3" fontId="28" fillId="0" borderId="3" xfId="0" applyNumberFormat="1" applyFont="1" applyBorder="1" applyAlignment="1">
      <alignment horizontal="center" wrapText="1"/>
    </xf>
    <xf numFmtId="3" fontId="28" fillId="0" borderId="5" xfId="0" applyNumberFormat="1" applyFont="1" applyBorder="1" applyAlignment="1">
      <alignment horizontal="center" wrapText="1"/>
    </xf>
    <xf numFmtId="165" fontId="27" fillId="0" borderId="1" xfId="1" applyNumberFormat="1" applyFont="1" applyBorder="1" applyAlignment="1">
      <alignment horizontal="center" wrapText="1"/>
    </xf>
    <xf numFmtId="165" fontId="39" fillId="0" borderId="3" xfId="0" applyNumberFormat="1" applyFont="1" applyBorder="1" applyAlignment="1"/>
    <xf numFmtId="165" fontId="39" fillId="0" borderId="4" xfId="0" applyNumberFormat="1" applyFont="1" applyBorder="1" applyAlignment="1"/>
    <xf numFmtId="165" fontId="39" fillId="0" borderId="5" xfId="0" applyNumberFormat="1" applyFont="1" applyBorder="1" applyAlignment="1"/>
    <xf numFmtId="0" fontId="46" fillId="0" borderId="3" xfId="0" applyFont="1" applyBorder="1" applyAlignment="1">
      <alignment horizontal="center" wrapText="1"/>
    </xf>
    <xf numFmtId="0" fontId="46" fillId="0" borderId="5" xfId="0" applyFont="1" applyBorder="1" applyAlignment="1">
      <alignment horizontal="center" wrapText="1"/>
    </xf>
    <xf numFmtId="0" fontId="46" fillId="0" borderId="3" xfId="0" applyFont="1" applyBorder="1" applyAlignment="1">
      <alignment horizontal="right" wrapText="1"/>
    </xf>
    <xf numFmtId="0" fontId="46" fillId="0" borderId="4" xfId="0" applyFont="1" applyBorder="1" applyAlignment="1">
      <alignment horizontal="right" wrapText="1"/>
    </xf>
    <xf numFmtId="0" fontId="46" fillId="0" borderId="5" xfId="0" applyFont="1" applyBorder="1" applyAlignment="1">
      <alignment horizontal="right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4" fontId="28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right" wrapText="1"/>
    </xf>
    <xf numFmtId="0" fontId="30" fillId="0" borderId="3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165" fontId="31" fillId="0" borderId="1" xfId="0" applyNumberFormat="1" applyFont="1" applyBorder="1" applyAlignment="1"/>
    <xf numFmtId="0" fontId="31" fillId="0" borderId="1" xfId="0" applyFont="1" applyBorder="1" applyAlignment="1"/>
    <xf numFmtId="165" fontId="28" fillId="0" borderId="4" xfId="1" applyFont="1" applyFill="1" applyBorder="1" applyAlignment="1">
      <alignment vertical="center"/>
    </xf>
    <xf numFmtId="165" fontId="28" fillId="0" borderId="5" xfId="1" applyFont="1" applyFill="1" applyBorder="1" applyAlignment="1">
      <alignment vertical="center"/>
    </xf>
    <xf numFmtId="0" fontId="30" fillId="5" borderId="6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wrapText="1"/>
    </xf>
    <xf numFmtId="3" fontId="27" fillId="0" borderId="1" xfId="0" applyNumberFormat="1" applyFont="1" applyFill="1" applyBorder="1" applyAlignment="1">
      <alignment horizontal="center" wrapText="1"/>
    </xf>
    <xf numFmtId="165" fontId="27" fillId="0" borderId="1" xfId="1" applyNumberFormat="1" applyFont="1" applyFill="1" applyBorder="1" applyAlignment="1">
      <alignment horizontal="center" wrapText="1"/>
    </xf>
    <xf numFmtId="0" fontId="27" fillId="0" borderId="3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0" fontId="27" fillId="0" borderId="1" xfId="0" applyFont="1" applyBorder="1" applyAlignment="1">
      <alignment horizontal="center"/>
    </xf>
    <xf numFmtId="165" fontId="27" fillId="0" borderId="4" xfId="1" applyFont="1" applyBorder="1" applyAlignment="1"/>
    <xf numFmtId="165" fontId="27" fillId="0" borderId="5" xfId="1" applyFont="1" applyBorder="1" applyAlignment="1"/>
    <xf numFmtId="165" fontId="27" fillId="0" borderId="1" xfId="1" applyFont="1" applyBorder="1" applyAlignment="1"/>
    <xf numFmtId="0" fontId="47" fillId="8" borderId="4" xfId="0" applyFont="1" applyFill="1" applyBorder="1" applyAlignment="1">
      <alignment horizontal="center" vertical="center" wrapText="1"/>
    </xf>
    <xf numFmtId="165" fontId="47" fillId="8" borderId="3" xfId="0" applyNumberFormat="1" applyFont="1" applyFill="1" applyBorder="1" applyAlignment="1">
      <alignment horizontal="center" vertical="center" wrapText="1"/>
    </xf>
    <xf numFmtId="0" fontId="47" fillId="8" borderId="5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165" fontId="47" fillId="8" borderId="5" xfId="0" applyNumberFormat="1" applyFont="1" applyFill="1" applyBorder="1" applyAlignment="1">
      <alignment horizontal="center" vertical="center" wrapText="1"/>
    </xf>
    <xf numFmtId="165" fontId="28" fillId="0" borderId="3" xfId="1" applyFont="1" applyBorder="1" applyAlignment="1">
      <alignment horizontal="center"/>
    </xf>
    <xf numFmtId="165" fontId="28" fillId="0" borderId="4" xfId="1" applyFont="1" applyBorder="1" applyAlignment="1">
      <alignment horizontal="center"/>
    </xf>
    <xf numFmtId="165" fontId="28" fillId="0" borderId="5" xfId="1" applyFont="1" applyBorder="1" applyAlignment="1">
      <alignment horizontal="center"/>
    </xf>
    <xf numFmtId="0" fontId="28" fillId="0" borderId="3" xfId="0" applyFont="1" applyFill="1" applyBorder="1" applyAlignment="1">
      <alignment horizontal="left" wrapText="1"/>
    </xf>
    <xf numFmtId="0" fontId="28" fillId="0" borderId="4" xfId="0" applyFont="1" applyFill="1" applyBorder="1" applyAlignment="1">
      <alignment horizontal="left" wrapText="1"/>
    </xf>
    <xf numFmtId="0" fontId="28" fillId="0" borderId="5" xfId="0" applyFont="1" applyFill="1" applyBorder="1" applyAlignment="1">
      <alignment horizontal="left" wrapText="1"/>
    </xf>
    <xf numFmtId="4" fontId="28" fillId="0" borderId="3" xfId="0" applyNumberFormat="1" applyFont="1" applyFill="1" applyBorder="1" applyAlignment="1">
      <alignment horizontal="center" wrapText="1"/>
    </xf>
    <xf numFmtId="4" fontId="28" fillId="0" borderId="5" xfId="0" applyNumberFormat="1" applyFont="1" applyFill="1" applyBorder="1" applyAlignment="1">
      <alignment horizontal="center" wrapText="1"/>
    </xf>
    <xf numFmtId="165" fontId="28" fillId="0" borderId="3" xfId="0" applyNumberFormat="1" applyFont="1" applyFill="1" applyBorder="1" applyAlignment="1">
      <alignment horizontal="center" wrapText="1"/>
    </xf>
    <xf numFmtId="165" fontId="28" fillId="0" borderId="5" xfId="0" applyNumberFormat="1" applyFont="1" applyFill="1" applyBorder="1" applyAlignment="1">
      <alignment horizontal="center" wrapText="1"/>
    </xf>
    <xf numFmtId="174" fontId="31" fillId="0" borderId="3" xfId="0" applyNumberFormat="1" applyFont="1" applyFill="1" applyBorder="1" applyAlignment="1">
      <alignment horizontal="right" wrapText="1"/>
    </xf>
    <xf numFmtId="174" fontId="31" fillId="0" borderId="5" xfId="0" applyNumberFormat="1" applyFont="1" applyFill="1" applyBorder="1" applyAlignment="1">
      <alignment horizontal="right" wrapText="1"/>
    </xf>
    <xf numFmtId="171" fontId="31" fillId="0" borderId="3" xfId="1" applyNumberFormat="1" applyFont="1" applyBorder="1" applyAlignment="1"/>
    <xf numFmtId="171" fontId="31" fillId="0" borderId="5" xfId="1" applyNumberFormat="1" applyFont="1" applyBorder="1" applyAlignment="1"/>
    <xf numFmtId="165" fontId="31" fillId="0" borderId="1" xfId="0" applyNumberFormat="1" applyFont="1" applyFill="1" applyBorder="1" applyAlignment="1"/>
    <xf numFmtId="0" fontId="31" fillId="0" borderId="1" xfId="0" applyFont="1" applyFill="1" applyBorder="1" applyAlignment="1"/>
    <xf numFmtId="165" fontId="31" fillId="0" borderId="3" xfId="0" applyNumberFormat="1" applyFont="1" applyBorder="1" applyAlignment="1">
      <alignment horizontal="center" wrapText="1"/>
    </xf>
    <xf numFmtId="165" fontId="31" fillId="0" borderId="5" xfId="0" applyNumberFormat="1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7" fillId="4" borderId="3" xfId="0" applyFont="1" applyFill="1" applyBorder="1" applyAlignment="1">
      <alignment horizontal="right" vertical="top" wrapText="1"/>
    </xf>
    <xf numFmtId="0" fontId="37" fillId="4" borderId="5" xfId="0" applyFont="1" applyFill="1" applyBorder="1" applyAlignment="1">
      <alignment horizontal="right" vertical="top" wrapText="1"/>
    </xf>
    <xf numFmtId="0" fontId="37" fillId="5" borderId="3" xfId="0" applyFont="1" applyFill="1" applyBorder="1" applyAlignment="1">
      <alignment horizontal="right" vertical="top" wrapText="1"/>
    </xf>
    <xf numFmtId="0" fontId="37" fillId="5" borderId="5" xfId="0" applyFont="1" applyFill="1" applyBorder="1" applyAlignment="1">
      <alignment horizontal="right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31" fillId="6" borderId="3" xfId="0" applyFont="1" applyFill="1" applyBorder="1" applyAlignment="1">
      <alignment horizontal="right" vertical="top" wrapText="1"/>
    </xf>
    <xf numFmtId="0" fontId="31" fillId="6" borderId="5" xfId="0" applyFont="1" applyFill="1" applyBorder="1" applyAlignment="1">
      <alignment horizontal="right" vertical="top" wrapText="1"/>
    </xf>
    <xf numFmtId="0" fontId="31" fillId="5" borderId="3" xfId="0" applyFont="1" applyFill="1" applyBorder="1" applyAlignment="1">
      <alignment horizontal="right" vertical="top" wrapText="1"/>
    </xf>
    <xf numFmtId="0" fontId="31" fillId="5" borderId="5" xfId="0" applyFont="1" applyFill="1" applyBorder="1" applyAlignment="1">
      <alignment horizontal="right" vertical="top" wrapText="1"/>
    </xf>
    <xf numFmtId="0" fontId="34" fillId="0" borderId="4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right" vertical="top" wrapText="1"/>
    </xf>
    <xf numFmtId="0" fontId="27" fillId="0" borderId="3" xfId="0" applyFont="1" applyBorder="1" applyAlignment="1">
      <alignment horizontal="right" wrapText="1"/>
    </xf>
    <xf numFmtId="0" fontId="27" fillId="0" borderId="4" xfId="0" applyFont="1" applyBorder="1" applyAlignment="1">
      <alignment horizontal="right" wrapText="1"/>
    </xf>
    <xf numFmtId="0" fontId="27" fillId="0" borderId="5" xfId="0" applyFont="1" applyBorder="1" applyAlignment="1">
      <alignment horizontal="right" wrapText="1"/>
    </xf>
    <xf numFmtId="165" fontId="39" fillId="0" borderId="3" xfId="0" applyNumberFormat="1" applyFont="1" applyBorder="1" applyAlignment="1">
      <alignment horizontal="center" wrapText="1"/>
    </xf>
    <xf numFmtId="165" fontId="39" fillId="0" borderId="5" xfId="0" applyNumberFormat="1" applyFont="1" applyBorder="1" applyAlignment="1">
      <alignment horizontal="center" wrapText="1"/>
    </xf>
    <xf numFmtId="0" fontId="27" fillId="0" borderId="3" xfId="0" applyFont="1" applyBorder="1" applyAlignment="1">
      <alignment horizontal="right" vertical="top" wrapText="1"/>
    </xf>
    <xf numFmtId="0" fontId="27" fillId="0" borderId="4" xfId="0" applyFont="1" applyBorder="1" applyAlignment="1">
      <alignment horizontal="right" vertical="top" wrapText="1"/>
    </xf>
    <xf numFmtId="0" fontId="27" fillId="0" borderId="5" xfId="0" applyFont="1" applyBorder="1" applyAlignment="1">
      <alignment horizontal="right" vertical="top" wrapText="1"/>
    </xf>
    <xf numFmtId="0" fontId="48" fillId="8" borderId="4" xfId="0" applyFont="1" applyFill="1" applyBorder="1" applyAlignment="1">
      <alignment horizontal="center" vertical="center" wrapText="1"/>
    </xf>
    <xf numFmtId="165" fontId="48" fillId="8" borderId="3" xfId="0" applyNumberFormat="1" applyFont="1" applyFill="1" applyBorder="1" applyAlignment="1">
      <alignment horizontal="center" vertical="center" wrapText="1"/>
    </xf>
    <xf numFmtId="0" fontId="48" fillId="8" borderId="5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8" fillId="2" borderId="3" xfId="0" applyFont="1" applyFill="1" applyBorder="1" applyAlignment="1">
      <alignment horizontal="right" wrapText="1"/>
    </xf>
    <xf numFmtId="0" fontId="28" fillId="2" borderId="4" xfId="0" applyFont="1" applyFill="1" applyBorder="1" applyAlignment="1">
      <alignment horizontal="right" wrapText="1"/>
    </xf>
    <xf numFmtId="0" fontId="28" fillId="2" borderId="5" xfId="0" applyFont="1" applyFill="1" applyBorder="1" applyAlignment="1">
      <alignment horizontal="right" wrapText="1"/>
    </xf>
    <xf numFmtId="165" fontId="28" fillId="2" borderId="3" xfId="1" applyFont="1" applyFill="1" applyBorder="1" applyAlignment="1">
      <alignment wrapText="1"/>
    </xf>
    <xf numFmtId="165" fontId="28" fillId="2" borderId="5" xfId="1" applyFont="1" applyFill="1" applyBorder="1" applyAlignment="1">
      <alignment wrapText="1"/>
    </xf>
    <xf numFmtId="165" fontId="28" fillId="2" borderId="3" xfId="0" applyNumberFormat="1" applyFont="1" applyFill="1" applyBorder="1" applyAlignment="1">
      <alignment wrapText="1"/>
    </xf>
    <xf numFmtId="165" fontId="28" fillId="2" borderId="5" xfId="0" applyNumberFormat="1" applyFont="1" applyFill="1" applyBorder="1" applyAlignment="1">
      <alignment wrapText="1"/>
    </xf>
    <xf numFmtId="0" fontId="30" fillId="0" borderId="10" xfId="0" applyFont="1" applyBorder="1" applyAlignment="1">
      <alignment horizontal="center"/>
    </xf>
    <xf numFmtId="0" fontId="30" fillId="5" borderId="0" xfId="0" applyFont="1" applyFill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65" fontId="27" fillId="0" borderId="3" xfId="1" applyFont="1" applyBorder="1" applyAlignment="1">
      <alignment horizontal="center" wrapText="1"/>
    </xf>
    <xf numFmtId="165" fontId="27" fillId="0" borderId="5" xfId="1" applyFont="1" applyBorder="1" applyAlignment="1">
      <alignment horizontal="center" wrapText="1"/>
    </xf>
    <xf numFmtId="165" fontId="27" fillId="0" borderId="3" xfId="1" applyFont="1" applyBorder="1" applyAlignment="1">
      <alignment horizontal="center"/>
    </xf>
    <xf numFmtId="165" fontId="27" fillId="0" borderId="5" xfId="1" applyFont="1" applyBorder="1" applyAlignment="1">
      <alignment horizontal="center"/>
    </xf>
    <xf numFmtId="165" fontId="28" fillId="0" borderId="1" xfId="1" applyFont="1" applyBorder="1" applyAlignment="1"/>
    <xf numFmtId="165" fontId="31" fillId="0" borderId="1" xfId="1" applyFont="1" applyBorder="1" applyAlignment="1">
      <alignment horizontal="center" wrapText="1"/>
    </xf>
    <xf numFmtId="165" fontId="28" fillId="0" borderId="4" xfId="1" applyFont="1" applyFill="1" applyBorder="1" applyAlignment="1"/>
    <xf numFmtId="0" fontId="28" fillId="2" borderId="1" xfId="0" applyFont="1" applyFill="1" applyBorder="1" applyAlignment="1">
      <alignment horizontal="right" wrapText="1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5" fontId="28" fillId="0" borderId="3" xfId="1" applyFont="1" applyFill="1" applyBorder="1" applyAlignment="1">
      <alignment horizontal="center"/>
    </xf>
    <xf numFmtId="165" fontId="28" fillId="0" borderId="5" xfId="1" applyFont="1" applyFill="1" applyBorder="1" applyAlignment="1">
      <alignment horizontal="center"/>
    </xf>
    <xf numFmtId="165" fontId="27" fillId="0" borderId="1" xfId="1" applyFont="1" applyBorder="1" applyAlignment="1">
      <alignment horizontal="center" wrapText="1"/>
    </xf>
    <xf numFmtId="0" fontId="46" fillId="0" borderId="1" xfId="0" applyFont="1" applyBorder="1" applyAlignment="1">
      <alignment horizontal="right" wrapText="1"/>
    </xf>
    <xf numFmtId="0" fontId="27" fillId="0" borderId="1" xfId="0" applyFont="1" applyBorder="1" applyAlignment="1"/>
    <xf numFmtId="0" fontId="28" fillId="0" borderId="1" xfId="0" applyFont="1" applyFill="1" applyBorder="1" applyAlignment="1">
      <alignment horizontal="left" wrapText="1"/>
    </xf>
    <xf numFmtId="165" fontId="46" fillId="0" borderId="3" xfId="1" applyFont="1" applyBorder="1" applyAlignment="1">
      <alignment horizontal="center" vertical="top" wrapText="1"/>
    </xf>
    <xf numFmtId="165" fontId="46" fillId="0" borderId="5" xfId="1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165" fontId="29" fillId="0" borderId="3" xfId="1" applyFont="1" applyBorder="1" applyAlignment="1">
      <alignment horizontal="center" vertical="top" wrapText="1"/>
    </xf>
    <xf numFmtId="165" fontId="29" fillId="0" borderId="5" xfId="1" applyFont="1" applyBorder="1" applyAlignment="1">
      <alignment horizontal="center" vertical="top" wrapText="1"/>
    </xf>
    <xf numFmtId="165" fontId="46" fillId="0" borderId="1" xfId="1" applyFont="1" applyBorder="1" applyAlignment="1">
      <alignment horizontal="center" vertical="top" wrapText="1"/>
    </xf>
    <xf numFmtId="165" fontId="39" fillId="0" borderId="1" xfId="1" applyFont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wrapText="1"/>
    </xf>
    <xf numFmtId="0" fontId="27" fillId="9" borderId="5" xfId="0" applyFont="1" applyFill="1" applyBorder="1" applyAlignment="1">
      <alignment horizontal="center" wrapText="1"/>
    </xf>
    <xf numFmtId="165" fontId="28" fillId="2" borderId="3" xfId="0" applyNumberFormat="1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0" fontId="46" fillId="0" borderId="3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top" wrapText="1"/>
    </xf>
    <xf numFmtId="0" fontId="46" fillId="0" borderId="5" xfId="0" applyFont="1" applyBorder="1" applyAlignment="1">
      <alignment horizontal="left" vertical="top" wrapText="1"/>
    </xf>
    <xf numFmtId="0" fontId="46" fillId="0" borderId="3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right" vertical="top" wrapText="1"/>
    </xf>
    <xf numFmtId="0" fontId="46" fillId="0" borderId="1" xfId="0" applyFont="1" applyBorder="1" applyAlignment="1">
      <alignment horizontal="center" vertical="top" wrapText="1"/>
    </xf>
    <xf numFmtId="0" fontId="27" fillId="9" borderId="1" xfId="0" applyFont="1" applyFill="1" applyBorder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65" fontId="3" fillId="0" borderId="4" xfId="1" applyFont="1" applyBorder="1" applyAlignment="1"/>
    <xf numFmtId="165" fontId="3" fillId="0" borderId="5" xfId="1" applyFont="1" applyBorder="1" applyAlignment="1"/>
    <xf numFmtId="0" fontId="3" fillId="0" borderId="1" xfId="0" applyFont="1" applyBorder="1" applyAlignment="1"/>
    <xf numFmtId="165" fontId="5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65" fontId="3" fillId="0" borderId="1" xfId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5" fontId="3" fillId="2" borderId="4" xfId="1" applyFont="1" applyFill="1" applyBorder="1" applyAlignment="1"/>
    <xf numFmtId="165" fontId="3" fillId="2" borderId="5" xfId="1" applyFont="1" applyFill="1" applyBorder="1" applyAlignment="1"/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5" fillId="0" borderId="1" xfId="0" applyNumberFormat="1" applyFont="1" applyBorder="1" applyAlignment="1"/>
    <xf numFmtId="0" fontId="5" fillId="0" borderId="1" xfId="0" applyFont="1" applyBorder="1" applyAlignment="1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65" fontId="6" fillId="0" borderId="0" xfId="1" applyNumberFormat="1" applyFont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center" wrapText="1"/>
    </xf>
    <xf numFmtId="165" fontId="5" fillId="0" borderId="1" xfId="1" applyFont="1" applyBorder="1" applyAlignment="1"/>
    <xf numFmtId="0" fontId="6" fillId="0" borderId="0" xfId="0" applyNumberFormat="1" applyFont="1" applyAlignment="1">
      <alignment horizontal="center" vertical="top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/>
    <xf numFmtId="0" fontId="3" fillId="2" borderId="1" xfId="0" applyFont="1" applyFill="1" applyBorder="1" applyAlignment="1">
      <alignment wrapText="1"/>
    </xf>
    <xf numFmtId="169" fontId="3" fillId="2" borderId="1" xfId="1" applyNumberFormat="1" applyFont="1" applyFill="1" applyBorder="1" applyAlignment="1"/>
    <xf numFmtId="165" fontId="3" fillId="2" borderId="1" xfId="0" applyNumberFormat="1" applyFont="1" applyFill="1" applyBorder="1" applyAlignment="1"/>
    <xf numFmtId="169" fontId="3" fillId="0" borderId="1" xfId="1" applyNumberFormat="1" applyFont="1" applyBorder="1" applyAlignment="1"/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wrapText="1"/>
    </xf>
    <xf numFmtId="165" fontId="3" fillId="2" borderId="1" xfId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39" fillId="0" borderId="0" xfId="1" applyFont="1" applyFill="1"/>
    <xf numFmtId="165" fontId="39" fillId="0" borderId="0" xfId="1" applyFont="1"/>
  </cellXfs>
  <cellStyles count="11">
    <cellStyle name="Гиперссылка" xfId="10" builtinId="8"/>
    <cellStyle name="Обычный" xfId="0" builtinId="0"/>
    <cellStyle name="Обычный 2" xfId="4"/>
    <cellStyle name="Обычный 3" xfId="6"/>
    <cellStyle name="Обычный_1. Штатное + тарификация на 01.09.2011" xfId="3"/>
    <cellStyle name="Процентный" xfId="2" builtinId="5"/>
    <cellStyle name="Процентный 2" xfId="7"/>
    <cellStyle name="Финансовый" xfId="1" builtinId="3"/>
    <cellStyle name="Финансовый 2" xfId="5"/>
    <cellStyle name="Финансовый 3" xfId="8"/>
    <cellStyle name="Финансовый 3 2" xfId="9"/>
  </cellStyles>
  <dxfs count="0"/>
  <tableStyles count="0" defaultTableStyle="TableStyleMedium9" defaultPivotStyle="PivotStyleLight16"/>
  <colors>
    <mruColors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27B9299060B2EBE5EA3756DDAFB3F19A107080DD5F92214C9BE3AED76819C889372256AD84852DB0F78B91B3A7H5LDJ" TargetMode="External"/><Relationship Id="rId3" Type="http://schemas.openxmlformats.org/officeDocument/2006/relationships/hyperlink" Target="consultantplus://offline/ref=27B9299060B2EBE5EA3756DDAFB3F19A107184DA5999214C9BE3AED76819C88925220EA3848235BAA2C4D7E6AB55A617ACF07EC3765FH7LCJ" TargetMode="External"/><Relationship Id="rId7" Type="http://schemas.openxmlformats.org/officeDocument/2006/relationships/hyperlink" Target="consultantplus://offline/ref=27B9299060B2EBE5EA3756DDAFB3F19A107184D9539E214C9BE3AED76819C889372256AD84852DB0F78B91B3A7H5LDJ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7B9299060B2EBE5EA3756DDAFB3F19A107184D9539E214C9BE3AED76819C889372256AD84852DB0F78B91B3A7H5LDJ" TargetMode="External"/><Relationship Id="rId1" Type="http://schemas.openxmlformats.org/officeDocument/2006/relationships/hyperlink" Target="consultantplus://offline/ref=27B9299060B2EBE5EA3756DDAFB3F19A107080DD5F92214C9BE3AED76819C889372256AD84852DB0F78B91B3A7H5LDJ" TargetMode="External"/><Relationship Id="rId6" Type="http://schemas.openxmlformats.org/officeDocument/2006/relationships/hyperlink" Target="consultantplus://offline/ref=27B9299060B2EBE5EA3756DDAFB3F19A107080DD5F92214C9BE3AED76819C889372256AD84852DB0F78B91B3A7H5LDJ" TargetMode="External"/><Relationship Id="rId11" Type="http://schemas.openxmlformats.org/officeDocument/2006/relationships/hyperlink" Target="consultantplus://offline/ref=27B9299060B2EBE5EA3756DDAFB3F19A107184D9539E214C9BE3AED76819C889372256AD84852DB0F78B91B3A7H5LDJ" TargetMode="External"/><Relationship Id="rId5" Type="http://schemas.openxmlformats.org/officeDocument/2006/relationships/hyperlink" Target="consultantplus://offline/ref=27B9299060B2EBE5EA3756DDAFB3F19A107184D9539E214C9BE3AED76819C889372256AD84852DB0F78B91B3A7H5LDJ" TargetMode="External"/><Relationship Id="rId10" Type="http://schemas.openxmlformats.org/officeDocument/2006/relationships/hyperlink" Target="consultantplus://offline/ref=27B9299060B2EBE5EA3756DDAFB3F19A107080DD5F92214C9BE3AED76819C889372256AD84852DB0F78B91B3A7H5LDJ" TargetMode="External"/><Relationship Id="rId4" Type="http://schemas.openxmlformats.org/officeDocument/2006/relationships/hyperlink" Target="consultantplus://offline/ref=27B9299060B2EBE5EA3756DDAFB3F19A107080DD5F92214C9BE3AED76819C889372256AD84852DB0F78B91B3A7H5LDJ" TargetMode="External"/><Relationship Id="rId9" Type="http://schemas.openxmlformats.org/officeDocument/2006/relationships/hyperlink" Target="consultantplus://offline/ref=27B9299060B2EBE5EA3756DDAFB3F19A107184D9539E214C9BE3AED76819C889372256AD84852DB0F78B91B3A7H5LDJ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A9" sqref="A9"/>
    </sheetView>
  </sheetViews>
  <sheetFormatPr defaultColWidth="9.140625" defaultRowHeight="12.75" x14ac:dyDescent="0.2"/>
  <cols>
    <col min="1" max="10" width="8" style="64" customWidth="1"/>
    <col min="11" max="11" width="8" style="45" customWidth="1"/>
    <col min="12" max="12" width="7.28515625" style="45" customWidth="1"/>
    <col min="13" max="13" width="3" style="45" customWidth="1"/>
    <col min="14" max="14" width="14.85546875" style="45" customWidth="1"/>
    <col min="15" max="16384" width="9.140625" style="45"/>
  </cols>
  <sheetData>
    <row r="1" spans="1:14" ht="15" x14ac:dyDescent="0.25">
      <c r="A1" s="248" t="s">
        <v>394</v>
      </c>
      <c r="B1" s="229"/>
      <c r="C1" s="229"/>
      <c r="D1" s="229"/>
      <c r="E1" s="229"/>
      <c r="F1" s="46"/>
      <c r="G1" s="46"/>
      <c r="H1" s="46"/>
      <c r="I1" s="46"/>
      <c r="J1" s="388" t="s">
        <v>267</v>
      </c>
      <c r="K1" s="388"/>
      <c r="L1" s="388"/>
      <c r="M1" s="388"/>
      <c r="N1" s="388"/>
    </row>
    <row r="2" spans="1:14" ht="22.15" customHeight="1" x14ac:dyDescent="0.25">
      <c r="A2" s="249" t="s">
        <v>396</v>
      </c>
      <c r="B2" s="229"/>
      <c r="C2" s="229"/>
      <c r="D2" s="229"/>
      <c r="E2" s="229"/>
      <c r="F2" s="65"/>
      <c r="G2" s="65"/>
      <c r="H2" s="65"/>
      <c r="I2" s="65"/>
      <c r="J2" s="391" t="s">
        <v>514</v>
      </c>
      <c r="K2" s="391"/>
      <c r="L2" s="391"/>
      <c r="M2" s="391"/>
      <c r="N2" s="391"/>
    </row>
    <row r="3" spans="1:14" ht="28.5" customHeight="1" x14ac:dyDescent="0.2">
      <c r="A3" s="397" t="s">
        <v>503</v>
      </c>
      <c r="B3" s="397"/>
      <c r="C3" s="397"/>
      <c r="D3" s="397"/>
      <c r="E3" s="397"/>
      <c r="F3" s="66"/>
      <c r="G3" s="66"/>
      <c r="H3" s="66"/>
      <c r="I3" s="66"/>
      <c r="J3" s="395" t="s">
        <v>269</v>
      </c>
      <c r="K3" s="395"/>
      <c r="L3" s="395"/>
      <c r="M3" s="395"/>
      <c r="N3" s="395"/>
    </row>
    <row r="4" spans="1:14" s="49" customFormat="1" ht="10.15" customHeight="1" x14ac:dyDescent="0.25">
      <c r="A4" s="272"/>
      <c r="B4" s="272"/>
      <c r="C4" s="272"/>
      <c r="D4" s="272"/>
      <c r="E4" s="272"/>
      <c r="F4" s="46"/>
      <c r="G4" s="46"/>
      <c r="H4" s="46"/>
      <c r="I4" s="45"/>
      <c r="J4" s="45"/>
      <c r="K4" s="45"/>
      <c r="L4" s="45"/>
      <c r="M4" s="45"/>
      <c r="N4" s="45"/>
    </row>
    <row r="5" spans="1:14" ht="15" x14ac:dyDescent="0.25">
      <c r="A5" s="389" t="s">
        <v>395</v>
      </c>
      <c r="B5" s="389"/>
      <c r="C5" s="389"/>
      <c r="D5" s="389"/>
      <c r="E5" s="389"/>
      <c r="F5" s="65"/>
      <c r="G5" s="65"/>
      <c r="H5" s="65"/>
      <c r="I5" s="65"/>
      <c r="J5" s="389" t="s">
        <v>689</v>
      </c>
      <c r="K5" s="389"/>
      <c r="L5" s="389"/>
      <c r="M5" s="389"/>
      <c r="N5" s="389"/>
    </row>
    <row r="6" spans="1:14" ht="15" customHeight="1" x14ac:dyDescent="0.2">
      <c r="A6" s="394" t="s">
        <v>268</v>
      </c>
      <c r="B6" s="394"/>
      <c r="C6" s="394"/>
      <c r="D6" s="394"/>
      <c r="E6" s="394"/>
      <c r="F6" s="49"/>
      <c r="G6" s="49"/>
      <c r="H6" s="49"/>
      <c r="I6" s="49"/>
      <c r="J6" s="394" t="s">
        <v>268</v>
      </c>
      <c r="K6" s="394"/>
      <c r="L6" s="394"/>
      <c r="M6" s="394"/>
      <c r="N6" s="394"/>
    </row>
    <row r="7" spans="1:14" s="49" customFormat="1" ht="1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5"/>
      <c r="L7" s="45"/>
      <c r="M7" s="45"/>
      <c r="N7" s="45"/>
    </row>
    <row r="8" spans="1:14" ht="15" x14ac:dyDescent="0.25">
      <c r="A8" s="230" t="s">
        <v>691</v>
      </c>
      <c r="B8" s="46"/>
      <c r="C8" s="46"/>
      <c r="D8" s="46"/>
      <c r="E8" s="46"/>
      <c r="F8" s="46"/>
      <c r="G8" s="46"/>
      <c r="H8" s="46"/>
      <c r="I8" s="46"/>
      <c r="J8" s="230" t="s">
        <v>691</v>
      </c>
      <c r="K8" s="231"/>
      <c r="L8" s="231"/>
    </row>
    <row r="9" spans="1:14" x14ac:dyDescent="0.2">
      <c r="A9" s="229"/>
      <c r="B9" s="229"/>
      <c r="C9" s="229"/>
      <c r="D9" s="229"/>
      <c r="E9" s="229"/>
      <c r="F9" s="229"/>
      <c r="G9" s="229"/>
      <c r="H9" s="229"/>
      <c r="I9" s="229"/>
      <c r="J9" s="229"/>
    </row>
    <row r="10" spans="1:14" x14ac:dyDescent="0.2">
      <c r="A10" s="243"/>
      <c r="B10" s="243"/>
      <c r="C10" s="243"/>
      <c r="D10" s="243"/>
      <c r="E10" s="243"/>
      <c r="F10" s="243"/>
      <c r="G10" s="243"/>
      <c r="H10" s="243"/>
      <c r="I10" s="243"/>
      <c r="J10" s="243"/>
    </row>
    <row r="11" spans="1:14" x14ac:dyDescent="0.2">
      <c r="A11" s="243"/>
      <c r="B11" s="243"/>
      <c r="C11" s="243"/>
      <c r="D11" s="243"/>
      <c r="E11" s="243"/>
      <c r="F11" s="243"/>
      <c r="G11" s="243"/>
      <c r="H11" s="243"/>
      <c r="I11" s="243"/>
      <c r="J11" s="243"/>
    </row>
    <row r="12" spans="1:14" x14ac:dyDescent="0.2">
      <c r="A12" s="243"/>
      <c r="B12" s="243"/>
      <c r="C12" s="243"/>
      <c r="D12" s="243"/>
      <c r="E12" s="243"/>
      <c r="F12" s="243"/>
      <c r="G12" s="243"/>
      <c r="H12" s="243"/>
      <c r="I12" s="243"/>
      <c r="J12" s="243"/>
    </row>
    <row r="13" spans="1:14" x14ac:dyDescent="0.2">
      <c r="A13" s="243"/>
      <c r="B13" s="243"/>
      <c r="C13" s="243"/>
      <c r="D13" s="243"/>
      <c r="E13" s="243"/>
      <c r="F13" s="243"/>
      <c r="G13" s="243"/>
      <c r="H13" s="243"/>
      <c r="I13" s="243"/>
      <c r="J13" s="243"/>
    </row>
    <row r="14" spans="1:14" x14ac:dyDescent="0.2">
      <c r="A14" s="243"/>
      <c r="B14" s="243"/>
      <c r="C14" s="243"/>
      <c r="D14" s="243"/>
      <c r="E14" s="243"/>
      <c r="F14" s="243"/>
      <c r="G14" s="243"/>
      <c r="H14" s="243"/>
      <c r="I14" s="243"/>
      <c r="J14" s="243"/>
    </row>
    <row r="15" spans="1:14" ht="18.75" x14ac:dyDescent="0.3">
      <c r="A15" s="390" t="s">
        <v>397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</row>
    <row r="16" spans="1:14" ht="18" customHeight="1" x14ac:dyDescent="0.3">
      <c r="A16" s="396" t="s">
        <v>504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</row>
    <row r="17" spans="1:14" ht="18" customHeight="1" x14ac:dyDescent="0.3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</row>
    <row r="18" spans="1:14" x14ac:dyDescent="0.2">
      <c r="A18" s="229"/>
      <c r="B18" s="45"/>
      <c r="C18" s="45"/>
      <c r="D18" s="45"/>
      <c r="E18" s="45"/>
      <c r="F18" s="45"/>
      <c r="G18" s="45"/>
      <c r="H18" s="45"/>
      <c r="I18" s="45"/>
      <c r="J18" s="45"/>
    </row>
    <row r="19" spans="1:14" x14ac:dyDescent="0.2">
      <c r="A19" s="243"/>
      <c r="B19" s="393" t="s">
        <v>692</v>
      </c>
      <c r="C19" s="393"/>
      <c r="D19" s="393"/>
      <c r="E19" s="393"/>
      <c r="F19" s="393"/>
      <c r="G19" s="393"/>
      <c r="H19" s="393"/>
      <c r="I19" s="393"/>
      <c r="J19" s="393"/>
      <c r="K19" s="393"/>
      <c r="L19" s="393"/>
    </row>
    <row r="20" spans="1:14" x14ac:dyDescent="0.2">
      <c r="A20" s="243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</row>
    <row r="21" spans="1:14" x14ac:dyDescent="0.2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</row>
    <row r="22" spans="1:14" x14ac:dyDescent="0.2">
      <c r="A22" s="229"/>
      <c r="B22" s="45"/>
      <c r="C22" s="45"/>
      <c r="D22" s="45"/>
      <c r="E22" s="45"/>
      <c r="F22" s="45"/>
      <c r="G22" s="45"/>
      <c r="H22" s="45"/>
      <c r="I22" s="45"/>
      <c r="J22" s="45"/>
      <c r="M22" s="392" t="s">
        <v>254</v>
      </c>
      <c r="N22" s="392"/>
    </row>
    <row r="23" spans="1:14" x14ac:dyDescent="0.2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M23" s="47" t="s">
        <v>255</v>
      </c>
      <c r="N23" s="250">
        <v>43823</v>
      </c>
    </row>
    <row r="24" spans="1:14" ht="1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M24" s="47" t="s">
        <v>398</v>
      </c>
      <c r="N24" s="251"/>
    </row>
    <row r="25" spans="1:14" ht="15.75" x14ac:dyDescent="0.25">
      <c r="A25" s="54" t="s">
        <v>402</v>
      </c>
      <c r="B25" s="229"/>
      <c r="C25" s="229"/>
      <c r="D25" s="229"/>
      <c r="E25" s="229"/>
      <c r="F25" s="229"/>
      <c r="G25" s="229"/>
      <c r="H25" s="229"/>
      <c r="I25" s="229"/>
      <c r="J25" s="229"/>
      <c r="M25" s="47" t="s">
        <v>399</v>
      </c>
      <c r="N25" s="251"/>
    </row>
    <row r="26" spans="1:14" ht="13.5" customHeight="1" x14ac:dyDescent="0.25">
      <c r="A26" s="276" t="s">
        <v>403</v>
      </c>
      <c r="B26" s="48"/>
      <c r="C26" s="48"/>
      <c r="D26" s="48"/>
      <c r="E26" s="48"/>
      <c r="F26" s="48"/>
      <c r="G26" s="48"/>
      <c r="H26" s="48"/>
      <c r="I26" s="48"/>
      <c r="J26" s="48"/>
      <c r="K26" s="44"/>
      <c r="M26" s="47" t="s">
        <v>398</v>
      </c>
      <c r="N26" s="251"/>
    </row>
    <row r="27" spans="1:14" ht="15.75" x14ac:dyDescent="0.25">
      <c r="A27" s="253" t="s">
        <v>259</v>
      </c>
      <c r="B27" s="254"/>
      <c r="C27" s="254"/>
      <c r="D27" s="254"/>
      <c r="E27" s="254"/>
      <c r="F27" s="254"/>
      <c r="G27" s="254"/>
      <c r="H27" s="48"/>
      <c r="I27" s="48"/>
      <c r="J27" s="48"/>
      <c r="K27" s="48"/>
      <c r="M27" s="47" t="s">
        <v>400</v>
      </c>
      <c r="N27" s="251">
        <v>8606006083</v>
      </c>
    </row>
    <row r="28" spans="1:14" x14ac:dyDescent="0.2">
      <c r="A28" s="45"/>
      <c r="B28" s="49"/>
      <c r="C28" s="49"/>
      <c r="D28" s="49"/>
      <c r="E28" s="49"/>
      <c r="F28" s="49"/>
      <c r="G28" s="49"/>
      <c r="H28" s="49"/>
      <c r="I28" s="49"/>
      <c r="J28" s="49"/>
      <c r="K28" s="44"/>
      <c r="M28" s="47" t="s">
        <v>401</v>
      </c>
      <c r="N28" s="251">
        <v>860601001</v>
      </c>
    </row>
    <row r="29" spans="1:14" ht="13.5" customHeight="1" x14ac:dyDescent="0.2">
      <c r="A29" s="45"/>
      <c r="B29" s="229"/>
      <c r="C29" s="229"/>
      <c r="D29" s="229"/>
      <c r="E29" s="229"/>
      <c r="F29" s="229"/>
      <c r="G29" s="229"/>
      <c r="H29" s="229"/>
      <c r="I29" s="229"/>
      <c r="J29" s="229"/>
      <c r="K29" s="44"/>
      <c r="M29" s="47"/>
      <c r="N29" s="251"/>
    </row>
    <row r="30" spans="1:14" ht="15.75" x14ac:dyDescent="0.25">
      <c r="A30" s="48" t="s">
        <v>505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  <c r="M30" s="52"/>
      <c r="N30" s="252"/>
    </row>
    <row r="31" spans="1:14" ht="15.75" x14ac:dyDescent="0.25">
      <c r="A31" s="48" t="s">
        <v>506</v>
      </c>
      <c r="B31" s="53"/>
      <c r="C31" s="53"/>
      <c r="D31" s="53"/>
      <c r="E31" s="53"/>
      <c r="F31" s="53"/>
      <c r="G31" s="53"/>
      <c r="H31" s="53"/>
      <c r="I31" s="53"/>
      <c r="J31" s="53"/>
      <c r="M31" s="47" t="s">
        <v>258</v>
      </c>
      <c r="N31" s="251">
        <v>383</v>
      </c>
    </row>
    <row r="32" spans="1:14" x14ac:dyDescent="0.2">
      <c r="A32" s="49" t="s">
        <v>256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44"/>
      <c r="L32" s="44"/>
      <c r="M32" s="44"/>
    </row>
    <row r="33" spans="1:13" ht="15" customHeight="1" x14ac:dyDescent="0.25">
      <c r="A33" s="45"/>
      <c r="B33" s="54"/>
      <c r="C33" s="54"/>
      <c r="D33" s="54"/>
      <c r="E33" s="54"/>
      <c r="F33" s="54"/>
      <c r="G33" s="54"/>
      <c r="H33" s="54"/>
      <c r="I33" s="54"/>
      <c r="J33" s="54"/>
      <c r="L33" s="55"/>
      <c r="M33" s="55"/>
    </row>
    <row r="34" spans="1:13" x14ac:dyDescent="0.2">
      <c r="A34" s="45"/>
      <c r="B34" s="49"/>
      <c r="C34" s="49"/>
      <c r="D34" s="49"/>
      <c r="E34" s="49"/>
      <c r="F34" s="49"/>
      <c r="G34" s="49"/>
      <c r="H34" s="49"/>
      <c r="I34" s="49"/>
      <c r="J34" s="49"/>
      <c r="L34" s="49"/>
      <c r="M34" s="49"/>
    </row>
    <row r="35" spans="1:13" x14ac:dyDescent="0.2">
      <c r="A35" s="45"/>
      <c r="B35" s="229"/>
      <c r="C35" s="229"/>
      <c r="D35" s="229"/>
      <c r="E35" s="229"/>
      <c r="F35" s="229"/>
      <c r="G35" s="229"/>
      <c r="H35" s="229"/>
      <c r="I35" s="229"/>
      <c r="J35" s="229"/>
    </row>
    <row r="36" spans="1:13" ht="15.75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L36" s="55"/>
      <c r="M36" s="55"/>
    </row>
    <row r="37" spans="1:13" x14ac:dyDescent="0.2">
      <c r="A37" s="53" t="s">
        <v>257</v>
      </c>
      <c r="B37" s="49"/>
      <c r="C37" s="49"/>
      <c r="D37" s="49"/>
      <c r="E37" s="49"/>
      <c r="F37" s="49"/>
      <c r="G37" s="49"/>
      <c r="H37" s="49"/>
      <c r="I37" s="49"/>
      <c r="J37" s="49"/>
      <c r="L37" s="49"/>
      <c r="M37" s="49"/>
    </row>
    <row r="38" spans="1:13" x14ac:dyDescent="0.2">
      <c r="A38" s="45"/>
      <c r="B38" s="229"/>
      <c r="C38" s="229"/>
      <c r="D38" s="229"/>
      <c r="E38" s="229"/>
      <c r="F38" s="229"/>
      <c r="G38" s="229"/>
      <c r="H38" s="229"/>
      <c r="I38" s="229"/>
      <c r="J38" s="229"/>
      <c r="K38" s="44"/>
      <c r="L38" s="44"/>
      <c r="M38" s="44"/>
    </row>
    <row r="39" spans="1:13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L39" s="49"/>
      <c r="M39" s="49"/>
    </row>
    <row r="40" spans="1:13" x14ac:dyDescent="0.2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44"/>
      <c r="L40" s="44"/>
      <c r="M40" s="44"/>
    </row>
  </sheetData>
  <mergeCells count="12">
    <mergeCell ref="J1:N1"/>
    <mergeCell ref="J5:N5"/>
    <mergeCell ref="A15:N15"/>
    <mergeCell ref="J2:N2"/>
    <mergeCell ref="M22:N22"/>
    <mergeCell ref="B19:L19"/>
    <mergeCell ref="J6:N6"/>
    <mergeCell ref="J3:N3"/>
    <mergeCell ref="A16:N16"/>
    <mergeCell ref="A3:E3"/>
    <mergeCell ref="A5:E5"/>
    <mergeCell ref="A6:E6"/>
  </mergeCells>
  <printOptions horizontalCentered="1"/>
  <pageMargins left="0.98425196850393704" right="0.39370078740157483" top="0.59055118110236227" bottom="0.59055118110236227" header="0.51181102362204722" footer="0.51181102362204722"/>
  <pageSetup paperSize="9" scale="77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Normal="100" zoomScaleSheetLayoutView="100" workbookViewId="0">
      <pane xSplit="2" ySplit="6" topLeftCell="C67" activePane="bottomRight" state="frozen"/>
      <selection pane="topRight" activeCell="C1" sqref="C1"/>
      <selection pane="bottomLeft" activeCell="A7" sqref="A7"/>
      <selection pane="bottomRight" activeCell="K29" sqref="K29"/>
    </sheetView>
  </sheetViews>
  <sheetFormatPr defaultRowHeight="15" x14ac:dyDescent="0.25"/>
  <cols>
    <col min="1" max="1" width="39.28515625" customWidth="1"/>
    <col min="3" max="3" width="14.7109375" customWidth="1"/>
    <col min="5" max="7" width="14.140625" bestFit="1" customWidth="1"/>
  </cols>
  <sheetData>
    <row r="1" spans="1:11" ht="15.75" x14ac:dyDescent="0.25">
      <c r="B1" s="262" t="s">
        <v>404</v>
      </c>
      <c r="C1" s="255"/>
      <c r="D1" s="255"/>
      <c r="E1" s="255"/>
      <c r="F1" s="255"/>
      <c r="G1" s="255"/>
      <c r="H1" s="255"/>
      <c r="I1" s="255"/>
      <c r="J1" s="255"/>
      <c r="K1" s="255"/>
    </row>
    <row r="2" spans="1:11" x14ac:dyDescent="0.25">
      <c r="B2" t="str">
        <f>'Титул лист'!B19:L19</f>
        <v xml:space="preserve">        от  "24 "   декабря   2019 г.     </v>
      </c>
    </row>
    <row r="3" spans="1:11" ht="32.25" customHeight="1" x14ac:dyDescent="0.25">
      <c r="A3" s="404" t="s">
        <v>507</v>
      </c>
      <c r="B3" s="404"/>
      <c r="C3" s="404"/>
      <c r="D3" s="404"/>
      <c r="E3" s="404"/>
      <c r="F3" s="404"/>
      <c r="G3" s="404"/>
      <c r="H3" s="404"/>
    </row>
    <row r="4" spans="1:11" x14ac:dyDescent="0.25">
      <c r="A4" s="402" t="s">
        <v>44</v>
      </c>
      <c r="B4" s="402" t="s">
        <v>275</v>
      </c>
      <c r="C4" s="402" t="s">
        <v>405</v>
      </c>
      <c r="D4" s="402" t="s">
        <v>406</v>
      </c>
      <c r="E4" s="402" t="s">
        <v>407</v>
      </c>
      <c r="F4" s="402"/>
      <c r="G4" s="402"/>
      <c r="H4" s="402"/>
    </row>
    <row r="5" spans="1:11" ht="63.75" x14ac:dyDescent="0.25">
      <c r="A5" s="402"/>
      <c r="B5" s="402"/>
      <c r="C5" s="402"/>
      <c r="D5" s="402"/>
      <c r="E5" s="247" t="s">
        <v>465</v>
      </c>
      <c r="F5" s="247" t="s">
        <v>466</v>
      </c>
      <c r="G5" s="247" t="s">
        <v>467</v>
      </c>
      <c r="H5" s="247" t="s">
        <v>408</v>
      </c>
    </row>
    <row r="6" spans="1:11" x14ac:dyDescent="0.25">
      <c r="A6" s="247">
        <v>1</v>
      </c>
      <c r="B6" s="247">
        <v>2</v>
      </c>
      <c r="C6" s="247">
        <v>3</v>
      </c>
      <c r="D6" s="247">
        <v>4</v>
      </c>
      <c r="E6" s="247">
        <v>5</v>
      </c>
      <c r="F6" s="247">
        <v>6</v>
      </c>
      <c r="G6" s="247">
        <v>7</v>
      </c>
      <c r="H6" s="247">
        <v>8</v>
      </c>
    </row>
    <row r="7" spans="1:11" s="267" customFormat="1" ht="25.5" x14ac:dyDescent="0.25">
      <c r="A7" s="263" t="s">
        <v>409</v>
      </c>
      <c r="B7" s="264" t="s">
        <v>280</v>
      </c>
      <c r="C7" s="265" t="s">
        <v>14</v>
      </c>
      <c r="D7" s="265" t="s">
        <v>14</v>
      </c>
      <c r="E7" s="266"/>
      <c r="F7" s="266"/>
      <c r="G7" s="266"/>
      <c r="H7" s="266"/>
    </row>
    <row r="8" spans="1:11" s="267" customFormat="1" ht="25.5" x14ac:dyDescent="0.25">
      <c r="A8" s="263" t="s">
        <v>410</v>
      </c>
      <c r="B8" s="264" t="s">
        <v>468</v>
      </c>
      <c r="C8" s="265" t="s">
        <v>14</v>
      </c>
      <c r="D8" s="265" t="s">
        <v>14</v>
      </c>
      <c r="E8" s="277">
        <f>E7+E9-E36</f>
        <v>0</v>
      </c>
      <c r="F8" s="277">
        <f t="shared" ref="F8:H8" si="0">F7+F9-F36</f>
        <v>0</v>
      </c>
      <c r="G8" s="277">
        <f>G7+G9-G36</f>
        <v>0</v>
      </c>
      <c r="H8" s="266">
        <f t="shared" si="0"/>
        <v>0</v>
      </c>
    </row>
    <row r="9" spans="1:11" s="267" customFormat="1" x14ac:dyDescent="0.25">
      <c r="A9" s="263" t="s">
        <v>411</v>
      </c>
      <c r="B9" s="264">
        <v>1000</v>
      </c>
      <c r="C9" s="266"/>
      <c r="D9" s="266"/>
      <c r="E9" s="277">
        <f>E10+E14+E19+E22+E24+E29+E85</f>
        <v>67412923.239999995</v>
      </c>
      <c r="F9" s="277">
        <f t="shared" ref="F9:G9" si="1">F10+F14+F19+F22+F24+F29+F85</f>
        <v>69984923.239999995</v>
      </c>
      <c r="G9" s="277">
        <f t="shared" si="1"/>
        <v>69889923.239999995</v>
      </c>
      <c r="H9" s="266">
        <f t="shared" ref="H9" si="2">H10+H14+H19+H22+H24+H29</f>
        <v>0</v>
      </c>
    </row>
    <row r="10" spans="1:11" x14ac:dyDescent="0.25">
      <c r="A10" s="259" t="s">
        <v>9</v>
      </c>
      <c r="B10" s="400">
        <v>1100</v>
      </c>
      <c r="C10" s="401">
        <v>120</v>
      </c>
      <c r="D10" s="401">
        <v>121</v>
      </c>
      <c r="E10" s="399">
        <v>14000</v>
      </c>
      <c r="F10" s="399">
        <v>14000</v>
      </c>
      <c r="G10" s="399">
        <v>14000</v>
      </c>
      <c r="H10" s="398"/>
    </row>
    <row r="11" spans="1:11" x14ac:dyDescent="0.25">
      <c r="A11" s="259" t="s">
        <v>412</v>
      </c>
      <c r="B11" s="400"/>
      <c r="C11" s="401"/>
      <c r="D11" s="401"/>
      <c r="E11" s="399"/>
      <c r="F11" s="399"/>
      <c r="G11" s="399"/>
      <c r="H11" s="398"/>
    </row>
    <row r="12" spans="1:11" x14ac:dyDescent="0.25">
      <c r="A12" s="403" t="s">
        <v>9</v>
      </c>
      <c r="B12" s="400">
        <v>1110</v>
      </c>
      <c r="C12" s="398"/>
      <c r="D12" s="398"/>
      <c r="E12" s="399"/>
      <c r="F12" s="399"/>
      <c r="G12" s="399"/>
      <c r="H12" s="398"/>
    </row>
    <row r="13" spans="1:11" x14ac:dyDescent="0.25">
      <c r="A13" s="403"/>
      <c r="B13" s="400"/>
      <c r="C13" s="398"/>
      <c r="D13" s="398"/>
      <c r="E13" s="399"/>
      <c r="F13" s="399"/>
      <c r="G13" s="399"/>
      <c r="H13" s="398"/>
    </row>
    <row r="14" spans="1:11" ht="25.5" x14ac:dyDescent="0.25">
      <c r="A14" s="259" t="s">
        <v>413</v>
      </c>
      <c r="B14" s="260">
        <v>1200</v>
      </c>
      <c r="C14" s="257">
        <v>130</v>
      </c>
      <c r="D14" s="386">
        <v>131</v>
      </c>
      <c r="E14" s="278">
        <f>SUM(E15:E18)</f>
        <v>66664763.239999995</v>
      </c>
      <c r="F14" s="278">
        <f t="shared" ref="F14:H14" si="3">SUM(F15:F18)</f>
        <v>69284763.239999995</v>
      </c>
      <c r="G14" s="278">
        <f t="shared" si="3"/>
        <v>69284763.239999995</v>
      </c>
      <c r="H14" s="274">
        <f t="shared" si="3"/>
        <v>0</v>
      </c>
    </row>
    <row r="15" spans="1:11" x14ac:dyDescent="0.25">
      <c r="A15" s="259" t="s">
        <v>9</v>
      </c>
      <c r="B15" s="400">
        <v>1210</v>
      </c>
      <c r="C15" s="401">
        <v>130</v>
      </c>
      <c r="D15" s="401">
        <v>131</v>
      </c>
      <c r="E15" s="399">
        <v>34483600</v>
      </c>
      <c r="F15" s="399">
        <v>37103600</v>
      </c>
      <c r="G15" s="399">
        <v>37103600</v>
      </c>
      <c r="H15" s="398"/>
    </row>
    <row r="16" spans="1:11" ht="51" x14ac:dyDescent="0.25">
      <c r="A16" s="259" t="s">
        <v>414</v>
      </c>
      <c r="B16" s="400"/>
      <c r="C16" s="401"/>
      <c r="D16" s="401"/>
      <c r="E16" s="399"/>
      <c r="F16" s="399"/>
      <c r="G16" s="399"/>
      <c r="H16" s="398"/>
    </row>
    <row r="17" spans="1:8" ht="51" x14ac:dyDescent="0.25">
      <c r="A17" s="259" t="s">
        <v>415</v>
      </c>
      <c r="B17" s="260">
        <v>1220</v>
      </c>
      <c r="C17" s="257">
        <v>130</v>
      </c>
      <c r="D17" s="258"/>
      <c r="E17" s="258"/>
      <c r="F17" s="258"/>
      <c r="G17" s="258"/>
      <c r="H17" s="258"/>
    </row>
    <row r="18" spans="1:8" ht="38.25" x14ac:dyDescent="0.25">
      <c r="A18" s="259" t="s">
        <v>508</v>
      </c>
      <c r="B18" s="261"/>
      <c r="C18" s="273">
        <v>130</v>
      </c>
      <c r="D18" s="386">
        <v>131</v>
      </c>
      <c r="E18" s="278">
        <v>32181163.239999998</v>
      </c>
      <c r="F18" s="278">
        <v>32181163.239999998</v>
      </c>
      <c r="G18" s="278">
        <v>32181163.239999998</v>
      </c>
      <c r="H18" s="258"/>
    </row>
    <row r="19" spans="1:8" ht="25.5" x14ac:dyDescent="0.25">
      <c r="A19" s="259" t="s">
        <v>416</v>
      </c>
      <c r="B19" s="260">
        <v>1300</v>
      </c>
      <c r="C19" s="257">
        <v>140</v>
      </c>
      <c r="D19" s="258">
        <f>SUM(D20)</f>
        <v>0</v>
      </c>
      <c r="E19" s="258">
        <f t="shared" ref="E19:H19" si="4">SUM(E20)</f>
        <v>0</v>
      </c>
      <c r="F19" s="258">
        <f t="shared" si="4"/>
        <v>0</v>
      </c>
      <c r="G19" s="258">
        <f t="shared" si="4"/>
        <v>0</v>
      </c>
      <c r="H19" s="258">
        <f t="shared" si="4"/>
        <v>0</v>
      </c>
    </row>
    <row r="20" spans="1:8" x14ac:dyDescent="0.25">
      <c r="A20" s="403" t="s">
        <v>9</v>
      </c>
      <c r="B20" s="400">
        <v>1310</v>
      </c>
      <c r="C20" s="401">
        <v>140</v>
      </c>
      <c r="D20" s="398"/>
      <c r="E20" s="398"/>
      <c r="F20" s="398"/>
      <c r="G20" s="398"/>
      <c r="H20" s="398"/>
    </row>
    <row r="21" spans="1:8" x14ac:dyDescent="0.25">
      <c r="A21" s="403"/>
      <c r="B21" s="400"/>
      <c r="C21" s="401"/>
      <c r="D21" s="398"/>
      <c r="E21" s="398"/>
      <c r="F21" s="398"/>
      <c r="G21" s="398"/>
      <c r="H21" s="398"/>
    </row>
    <row r="22" spans="1:8" ht="25.5" x14ac:dyDescent="0.25">
      <c r="A22" s="259" t="s">
        <v>417</v>
      </c>
      <c r="B22" s="260">
        <v>1400</v>
      </c>
      <c r="C22" s="257">
        <v>150</v>
      </c>
      <c r="D22" s="386">
        <v>155</v>
      </c>
      <c r="E22" s="258"/>
      <c r="F22" s="258"/>
      <c r="G22" s="258"/>
      <c r="H22" s="258"/>
    </row>
    <row r="23" spans="1:8" x14ac:dyDescent="0.25">
      <c r="A23" s="259" t="s">
        <v>9</v>
      </c>
      <c r="B23" s="261"/>
      <c r="C23" s="258"/>
      <c r="D23" s="258"/>
      <c r="E23" s="258"/>
      <c r="F23" s="258"/>
      <c r="G23" s="258"/>
      <c r="H23" s="258"/>
    </row>
    <row r="24" spans="1:8" x14ac:dyDescent="0.25">
      <c r="A24" s="259" t="s">
        <v>418</v>
      </c>
      <c r="B24" s="260">
        <v>1500</v>
      </c>
      <c r="C24" s="257">
        <v>180</v>
      </c>
      <c r="D24" s="386">
        <v>152</v>
      </c>
      <c r="E24" s="387">
        <f t="shared" ref="E24:H24" si="5">SUM(E25:E27)</f>
        <v>738160</v>
      </c>
      <c r="F24" s="387">
        <f t="shared" si="5"/>
        <v>690160</v>
      </c>
      <c r="G24" s="387">
        <f t="shared" si="5"/>
        <v>595160</v>
      </c>
      <c r="H24" s="258">
        <f t="shared" si="5"/>
        <v>0</v>
      </c>
    </row>
    <row r="25" spans="1:8" x14ac:dyDescent="0.25">
      <c r="A25" s="259" t="s">
        <v>9</v>
      </c>
      <c r="B25" s="400">
        <v>1510</v>
      </c>
      <c r="C25" s="401">
        <v>180</v>
      </c>
      <c r="D25" s="401">
        <v>152</v>
      </c>
      <c r="E25" s="399">
        <f>32000+29000+40000+522160+115000</f>
        <v>738160</v>
      </c>
      <c r="F25" s="399">
        <f>13000+40000+522160+115000</f>
        <v>690160</v>
      </c>
      <c r="G25" s="399">
        <f>13000+40000+522160+20000</f>
        <v>595160</v>
      </c>
      <c r="H25" s="398"/>
    </row>
    <row r="26" spans="1:8" x14ac:dyDescent="0.25">
      <c r="A26" s="259" t="s">
        <v>419</v>
      </c>
      <c r="B26" s="400"/>
      <c r="C26" s="401"/>
      <c r="D26" s="401"/>
      <c r="E26" s="399"/>
      <c r="F26" s="399"/>
      <c r="G26" s="399"/>
      <c r="H26" s="398"/>
    </row>
    <row r="27" spans="1:8" ht="25.5" x14ac:dyDescent="0.25">
      <c r="A27" s="259" t="s">
        <v>276</v>
      </c>
      <c r="B27" s="260">
        <v>1520</v>
      </c>
      <c r="C27" s="257">
        <v>180</v>
      </c>
      <c r="D27" s="258"/>
      <c r="E27" s="258"/>
      <c r="F27" s="258"/>
      <c r="G27" s="258"/>
      <c r="H27" s="258"/>
    </row>
    <row r="28" spans="1:8" x14ac:dyDescent="0.25">
      <c r="A28" s="259"/>
      <c r="B28" s="261"/>
      <c r="C28" s="258"/>
      <c r="D28" s="258"/>
      <c r="E28" s="258"/>
      <c r="F28" s="258"/>
      <c r="G28" s="258"/>
      <c r="H28" s="258"/>
    </row>
    <row r="29" spans="1:8" x14ac:dyDescent="0.25">
      <c r="A29" s="259" t="s">
        <v>420</v>
      </c>
      <c r="B29" s="260">
        <v>1900</v>
      </c>
      <c r="C29" s="258"/>
      <c r="D29" s="258"/>
      <c r="E29" s="258"/>
      <c r="F29" s="258"/>
      <c r="G29" s="258"/>
      <c r="H29" s="258"/>
    </row>
    <row r="30" spans="1:8" x14ac:dyDescent="0.25">
      <c r="A30" s="259" t="s">
        <v>9</v>
      </c>
      <c r="B30" s="261"/>
      <c r="C30" s="258"/>
      <c r="D30" s="258"/>
      <c r="E30" s="258"/>
      <c r="F30" s="258"/>
      <c r="G30" s="258"/>
      <c r="H30" s="258"/>
    </row>
    <row r="31" spans="1:8" x14ac:dyDescent="0.25">
      <c r="A31" s="259"/>
      <c r="B31" s="261"/>
      <c r="C31" s="258"/>
      <c r="D31" s="258"/>
      <c r="E31" s="258"/>
      <c r="F31" s="258"/>
      <c r="G31" s="258"/>
      <c r="H31" s="258"/>
    </row>
    <row r="32" spans="1:8" x14ac:dyDescent="0.25">
      <c r="A32" s="259" t="s">
        <v>421</v>
      </c>
      <c r="B32" s="260">
        <v>1980</v>
      </c>
      <c r="C32" s="257" t="s">
        <v>14</v>
      </c>
      <c r="D32" s="258"/>
      <c r="E32" s="258"/>
      <c r="F32" s="258"/>
      <c r="G32" s="258"/>
      <c r="H32" s="258"/>
    </row>
    <row r="33" spans="1:8" x14ac:dyDescent="0.25">
      <c r="A33" s="259" t="s">
        <v>274</v>
      </c>
      <c r="B33" s="400">
        <v>1981</v>
      </c>
      <c r="C33" s="401">
        <v>510</v>
      </c>
      <c r="D33" s="398"/>
      <c r="E33" s="398"/>
      <c r="F33" s="398"/>
      <c r="G33" s="398"/>
      <c r="H33" s="401" t="s">
        <v>14</v>
      </c>
    </row>
    <row r="34" spans="1:8" ht="38.25" x14ac:dyDescent="0.25">
      <c r="A34" s="259" t="s">
        <v>422</v>
      </c>
      <c r="B34" s="400"/>
      <c r="C34" s="401"/>
      <c r="D34" s="398"/>
      <c r="E34" s="398"/>
      <c r="F34" s="398"/>
      <c r="G34" s="398"/>
      <c r="H34" s="401"/>
    </row>
    <row r="35" spans="1:8" x14ac:dyDescent="0.25">
      <c r="A35" s="259"/>
      <c r="B35" s="261"/>
      <c r="C35" s="258"/>
      <c r="D35" s="258"/>
      <c r="E35" s="258"/>
      <c r="F35" s="258"/>
      <c r="G35" s="258"/>
      <c r="H35" s="258"/>
    </row>
    <row r="36" spans="1:8" s="267" customFormat="1" x14ac:dyDescent="0.25">
      <c r="A36" s="268" t="s">
        <v>423</v>
      </c>
      <c r="B36" s="264">
        <v>2000</v>
      </c>
      <c r="C36" s="265" t="s">
        <v>14</v>
      </c>
      <c r="D36" s="266"/>
      <c r="E36" s="277">
        <f>E37+E53+E62+E67+E72+E74</f>
        <v>67412923.24000001</v>
      </c>
      <c r="F36" s="277">
        <f t="shared" ref="F36:G36" si="6">F37+F53+F62+F67+F72+F74</f>
        <v>69984923.24000001</v>
      </c>
      <c r="G36" s="277">
        <f t="shared" si="6"/>
        <v>69889923.24000001</v>
      </c>
      <c r="H36" s="266"/>
    </row>
    <row r="37" spans="1:8" x14ac:dyDescent="0.25">
      <c r="A37" s="259" t="s">
        <v>9</v>
      </c>
      <c r="B37" s="400">
        <v>2100</v>
      </c>
      <c r="C37" s="401" t="s">
        <v>14</v>
      </c>
      <c r="D37" s="398"/>
      <c r="E37" s="399">
        <f>E39+E41+E42+E43+E47+E48+E49</f>
        <v>57065963.240000002</v>
      </c>
      <c r="F37" s="399">
        <f t="shared" ref="F37:G37" si="7">F39+F41+F42+F43+F47+F48+F49</f>
        <v>59685963.240000002</v>
      </c>
      <c r="G37" s="399">
        <f t="shared" si="7"/>
        <v>59685963.240000002</v>
      </c>
      <c r="H37" s="401"/>
    </row>
    <row r="38" spans="1:8" x14ac:dyDescent="0.25">
      <c r="A38" s="259" t="s">
        <v>424</v>
      </c>
      <c r="B38" s="400"/>
      <c r="C38" s="401"/>
      <c r="D38" s="398"/>
      <c r="E38" s="399"/>
      <c r="F38" s="399"/>
      <c r="G38" s="399"/>
      <c r="H38" s="401"/>
    </row>
    <row r="39" spans="1:8" x14ac:dyDescent="0.25">
      <c r="A39" s="259" t="s">
        <v>9</v>
      </c>
      <c r="B39" s="400">
        <v>2110</v>
      </c>
      <c r="C39" s="401">
        <v>111</v>
      </c>
      <c r="D39" s="398"/>
      <c r="E39" s="399">
        <f>42850163.24+90000</f>
        <v>42940163.240000002</v>
      </c>
      <c r="F39" s="399">
        <f>44850163.24+90000</f>
        <v>44940163.240000002</v>
      </c>
      <c r="G39" s="399">
        <f>44850163.24+90000</f>
        <v>44940163.240000002</v>
      </c>
      <c r="H39" s="401" t="s">
        <v>14</v>
      </c>
    </row>
    <row r="40" spans="1:8" x14ac:dyDescent="0.25">
      <c r="A40" s="259" t="s">
        <v>425</v>
      </c>
      <c r="B40" s="400"/>
      <c r="C40" s="401"/>
      <c r="D40" s="398"/>
      <c r="E40" s="399"/>
      <c r="F40" s="399"/>
      <c r="G40" s="399"/>
      <c r="H40" s="401"/>
    </row>
    <row r="41" spans="1:8" ht="25.5" x14ac:dyDescent="0.25">
      <c r="A41" s="259" t="s">
        <v>426</v>
      </c>
      <c r="B41" s="260">
        <v>2120</v>
      </c>
      <c r="C41" s="257">
        <v>112</v>
      </c>
      <c r="D41" s="258"/>
      <c r="E41" s="278">
        <f>15000+2000+65000+1072400</f>
        <v>1154400</v>
      </c>
      <c r="F41" s="278">
        <f>15000+1072400+2000+65000</f>
        <v>1154400</v>
      </c>
      <c r="G41" s="278">
        <f>15000+1072400+2000+65000</f>
        <v>1154400</v>
      </c>
      <c r="H41" s="257" t="s">
        <v>14</v>
      </c>
    </row>
    <row r="42" spans="1:8" ht="38.25" x14ac:dyDescent="0.25">
      <c r="A42" s="259" t="s">
        <v>427</v>
      </c>
      <c r="B42" s="260">
        <v>2130</v>
      </c>
      <c r="C42" s="257">
        <v>113</v>
      </c>
      <c r="D42" s="258"/>
      <c r="E42" s="278">
        <v>40000</v>
      </c>
      <c r="F42" s="278">
        <v>40000</v>
      </c>
      <c r="G42" s="278">
        <v>40000</v>
      </c>
      <c r="H42" s="257" t="s">
        <v>14</v>
      </c>
    </row>
    <row r="43" spans="1:8" ht="51" x14ac:dyDescent="0.25">
      <c r="A43" s="259" t="s">
        <v>428</v>
      </c>
      <c r="B43" s="260">
        <v>2140</v>
      </c>
      <c r="C43" s="257">
        <v>119</v>
      </c>
      <c r="D43" s="258"/>
      <c r="E43" s="278">
        <f>SUM(E44+E46)</f>
        <v>12931400</v>
      </c>
      <c r="F43" s="278">
        <f t="shared" ref="F43:G43" si="8">SUM(F44+F46)</f>
        <v>13551400</v>
      </c>
      <c r="G43" s="278">
        <f t="shared" si="8"/>
        <v>13551400</v>
      </c>
      <c r="H43" s="257" t="s">
        <v>14</v>
      </c>
    </row>
    <row r="44" spans="1:8" x14ac:dyDescent="0.25">
      <c r="A44" s="259" t="s">
        <v>9</v>
      </c>
      <c r="B44" s="400">
        <v>2141</v>
      </c>
      <c r="C44" s="401">
        <v>119</v>
      </c>
      <c r="D44" s="398"/>
      <c r="E44" s="399">
        <v>12931400</v>
      </c>
      <c r="F44" s="399">
        <f>13551400</f>
        <v>13551400</v>
      </c>
      <c r="G44" s="399">
        <v>13551400</v>
      </c>
      <c r="H44" s="401" t="s">
        <v>14</v>
      </c>
    </row>
    <row r="45" spans="1:8" x14ac:dyDescent="0.25">
      <c r="A45" s="259" t="s">
        <v>429</v>
      </c>
      <c r="B45" s="400"/>
      <c r="C45" s="401"/>
      <c r="D45" s="398"/>
      <c r="E45" s="399"/>
      <c r="F45" s="399"/>
      <c r="G45" s="399"/>
      <c r="H45" s="401"/>
    </row>
    <row r="46" spans="1:8" x14ac:dyDescent="0.25">
      <c r="A46" s="259" t="s">
        <v>430</v>
      </c>
      <c r="B46" s="260">
        <v>2142</v>
      </c>
      <c r="C46" s="257">
        <v>119</v>
      </c>
      <c r="D46" s="258"/>
      <c r="E46" s="278"/>
      <c r="F46" s="278"/>
      <c r="G46" s="278"/>
      <c r="H46" s="257" t="s">
        <v>14</v>
      </c>
    </row>
    <row r="47" spans="1:8" ht="25.5" x14ac:dyDescent="0.25">
      <c r="A47" s="259" t="s">
        <v>431</v>
      </c>
      <c r="B47" s="260">
        <v>2150</v>
      </c>
      <c r="C47" s="257">
        <v>131</v>
      </c>
      <c r="D47" s="258"/>
      <c r="E47" s="258"/>
      <c r="F47" s="258"/>
      <c r="G47" s="258"/>
      <c r="H47" s="257" t="s">
        <v>14</v>
      </c>
    </row>
    <row r="48" spans="1:8" ht="38.25" x14ac:dyDescent="0.25">
      <c r="A48" s="259" t="s">
        <v>432</v>
      </c>
      <c r="B48" s="260">
        <v>2160</v>
      </c>
      <c r="C48" s="257">
        <v>134</v>
      </c>
      <c r="D48" s="258"/>
      <c r="E48" s="258"/>
      <c r="F48" s="258"/>
      <c r="G48" s="258"/>
      <c r="H48" s="257" t="s">
        <v>14</v>
      </c>
    </row>
    <row r="49" spans="1:8" ht="51" x14ac:dyDescent="0.25">
      <c r="A49" s="259" t="s">
        <v>433</v>
      </c>
      <c r="B49" s="260">
        <v>2170</v>
      </c>
      <c r="C49" s="257">
        <v>139</v>
      </c>
      <c r="D49" s="258"/>
      <c r="E49" s="258">
        <f>SUM(E50:E52)</f>
        <v>0</v>
      </c>
      <c r="F49" s="258">
        <f t="shared" ref="F49:G49" si="9">SUM(F50:F52)</f>
        <v>0</v>
      </c>
      <c r="G49" s="258">
        <f t="shared" si="9"/>
        <v>0</v>
      </c>
      <c r="H49" s="257" t="s">
        <v>14</v>
      </c>
    </row>
    <row r="50" spans="1:8" x14ac:dyDescent="0.25">
      <c r="A50" s="259" t="s">
        <v>9</v>
      </c>
      <c r="B50" s="400">
        <v>2171</v>
      </c>
      <c r="C50" s="401">
        <v>139</v>
      </c>
      <c r="D50" s="398"/>
      <c r="E50" s="398"/>
      <c r="F50" s="398"/>
      <c r="G50" s="398"/>
      <c r="H50" s="401" t="s">
        <v>14</v>
      </c>
    </row>
    <row r="51" spans="1:8" x14ac:dyDescent="0.25">
      <c r="A51" s="259" t="s">
        <v>434</v>
      </c>
      <c r="B51" s="400"/>
      <c r="C51" s="401"/>
      <c r="D51" s="398"/>
      <c r="E51" s="398"/>
      <c r="F51" s="398"/>
      <c r="G51" s="398"/>
      <c r="H51" s="401"/>
    </row>
    <row r="52" spans="1:8" ht="25.5" x14ac:dyDescent="0.25">
      <c r="A52" s="259" t="s">
        <v>435</v>
      </c>
      <c r="B52" s="260">
        <v>2172</v>
      </c>
      <c r="C52" s="257">
        <v>139</v>
      </c>
      <c r="D52" s="258"/>
      <c r="E52" s="258"/>
      <c r="F52" s="258"/>
      <c r="G52" s="258"/>
      <c r="H52" s="257" t="s">
        <v>14</v>
      </c>
    </row>
    <row r="53" spans="1:8" ht="25.5" x14ac:dyDescent="0.25">
      <c r="A53" s="259" t="s">
        <v>277</v>
      </c>
      <c r="B53" s="260">
        <v>2200</v>
      </c>
      <c r="C53" s="257">
        <v>300</v>
      </c>
      <c r="D53" s="258"/>
      <c r="E53" s="258">
        <f>E54+E59+E60+E61</f>
        <v>0</v>
      </c>
      <c r="F53" s="258"/>
      <c r="G53" s="258"/>
      <c r="H53" s="257" t="s">
        <v>14</v>
      </c>
    </row>
    <row r="54" spans="1:8" x14ac:dyDescent="0.25">
      <c r="A54" s="259" t="s">
        <v>9</v>
      </c>
      <c r="B54" s="400">
        <v>2210</v>
      </c>
      <c r="C54" s="401">
        <v>320</v>
      </c>
      <c r="D54" s="398"/>
      <c r="E54" s="398"/>
      <c r="F54" s="398"/>
      <c r="G54" s="398"/>
      <c r="H54" s="401" t="s">
        <v>14</v>
      </c>
    </row>
    <row r="55" spans="1:8" ht="25.5" x14ac:dyDescent="0.25">
      <c r="A55" s="259" t="s">
        <v>436</v>
      </c>
      <c r="B55" s="400"/>
      <c r="C55" s="401"/>
      <c r="D55" s="398"/>
      <c r="E55" s="398"/>
      <c r="F55" s="398"/>
      <c r="G55" s="398"/>
      <c r="H55" s="401"/>
    </row>
    <row r="56" spans="1:8" x14ac:dyDescent="0.25">
      <c r="A56" s="259" t="s">
        <v>274</v>
      </c>
      <c r="B56" s="400">
        <v>2211</v>
      </c>
      <c r="C56" s="401">
        <v>321</v>
      </c>
      <c r="D56" s="398"/>
      <c r="E56" s="398"/>
      <c r="F56" s="398"/>
      <c r="G56" s="398"/>
      <c r="H56" s="401" t="s">
        <v>14</v>
      </c>
    </row>
    <row r="57" spans="1:8" ht="38.25" x14ac:dyDescent="0.25">
      <c r="A57" s="259" t="s">
        <v>437</v>
      </c>
      <c r="B57" s="400"/>
      <c r="C57" s="401"/>
      <c r="D57" s="398"/>
      <c r="E57" s="398"/>
      <c r="F57" s="398"/>
      <c r="G57" s="398"/>
      <c r="H57" s="401"/>
    </row>
    <row r="58" spans="1:8" x14ac:dyDescent="0.25">
      <c r="A58" s="259"/>
      <c r="B58" s="261"/>
      <c r="C58" s="258"/>
      <c r="D58" s="258"/>
      <c r="E58" s="258"/>
      <c r="F58" s="258"/>
      <c r="G58" s="258"/>
      <c r="H58" s="258"/>
    </row>
    <row r="59" spans="1:8" ht="51" x14ac:dyDescent="0.25">
      <c r="A59" s="259" t="s">
        <v>438</v>
      </c>
      <c r="B59" s="260">
        <v>2220</v>
      </c>
      <c r="C59" s="257">
        <v>340</v>
      </c>
      <c r="D59" s="258"/>
      <c r="E59" s="258"/>
      <c r="F59" s="258"/>
      <c r="G59" s="258"/>
      <c r="H59" s="257" t="s">
        <v>14</v>
      </c>
    </row>
    <row r="60" spans="1:8" ht="76.5" x14ac:dyDescent="0.25">
      <c r="A60" s="259" t="s">
        <v>439</v>
      </c>
      <c r="B60" s="260">
        <v>2230</v>
      </c>
      <c r="C60" s="257">
        <v>350</v>
      </c>
      <c r="D60" s="258"/>
      <c r="E60" s="258"/>
      <c r="F60" s="258"/>
      <c r="G60" s="258"/>
      <c r="H60" s="257" t="s">
        <v>14</v>
      </c>
    </row>
    <row r="61" spans="1:8" ht="25.5" x14ac:dyDescent="0.25">
      <c r="A61" s="259" t="s">
        <v>440</v>
      </c>
      <c r="B61" s="260">
        <v>2240</v>
      </c>
      <c r="C61" s="257">
        <v>360</v>
      </c>
      <c r="D61" s="258"/>
      <c r="E61" s="258"/>
      <c r="F61" s="258"/>
      <c r="G61" s="258"/>
      <c r="H61" s="257" t="s">
        <v>14</v>
      </c>
    </row>
    <row r="62" spans="1:8" ht="25.5" x14ac:dyDescent="0.25">
      <c r="A62" s="259" t="s">
        <v>441</v>
      </c>
      <c r="B62" s="260">
        <v>2300</v>
      </c>
      <c r="C62" s="257">
        <v>850</v>
      </c>
      <c r="D62" s="258"/>
      <c r="E62" s="278">
        <f>E63+E65+E66</f>
        <v>2550000</v>
      </c>
      <c r="F62" s="278">
        <f t="shared" ref="F62:G62" si="10">F63+F65+F66</f>
        <v>2550000</v>
      </c>
      <c r="G62" s="278">
        <f t="shared" si="10"/>
        <v>2550000</v>
      </c>
      <c r="H62" s="257" t="s">
        <v>14</v>
      </c>
    </row>
    <row r="63" spans="1:8" x14ac:dyDescent="0.25">
      <c r="A63" s="259" t="s">
        <v>274</v>
      </c>
      <c r="B63" s="400">
        <v>2310</v>
      </c>
      <c r="C63" s="401">
        <v>851</v>
      </c>
      <c r="D63" s="398"/>
      <c r="E63" s="399">
        <v>2550000</v>
      </c>
      <c r="F63" s="399">
        <v>2550000</v>
      </c>
      <c r="G63" s="399">
        <v>2550000</v>
      </c>
      <c r="H63" s="401" t="s">
        <v>14</v>
      </c>
    </row>
    <row r="64" spans="1:8" ht="25.5" x14ac:dyDescent="0.25">
      <c r="A64" s="259" t="s">
        <v>442</v>
      </c>
      <c r="B64" s="400"/>
      <c r="C64" s="401"/>
      <c r="D64" s="398"/>
      <c r="E64" s="399"/>
      <c r="F64" s="399"/>
      <c r="G64" s="399"/>
      <c r="H64" s="401"/>
    </row>
    <row r="65" spans="1:8" ht="51" x14ac:dyDescent="0.25">
      <c r="A65" s="259" t="s">
        <v>443</v>
      </c>
      <c r="B65" s="260">
        <v>2320</v>
      </c>
      <c r="C65" s="257">
        <v>852</v>
      </c>
      <c r="D65" s="258"/>
      <c r="E65" s="258"/>
      <c r="F65" s="258"/>
      <c r="G65" s="258"/>
      <c r="H65" s="257" t="s">
        <v>14</v>
      </c>
    </row>
    <row r="66" spans="1:8" ht="25.5" x14ac:dyDescent="0.25">
      <c r="A66" s="259" t="s">
        <v>444</v>
      </c>
      <c r="B66" s="260">
        <v>2330</v>
      </c>
      <c r="C66" s="257">
        <v>853</v>
      </c>
      <c r="D66" s="258"/>
      <c r="E66" s="258"/>
      <c r="F66" s="258"/>
      <c r="G66" s="258"/>
      <c r="H66" s="257" t="s">
        <v>14</v>
      </c>
    </row>
    <row r="67" spans="1:8" ht="25.5" x14ac:dyDescent="0.25">
      <c r="A67" s="259" t="s">
        <v>445</v>
      </c>
      <c r="B67" s="260">
        <v>2400</v>
      </c>
      <c r="C67" s="257" t="s">
        <v>14</v>
      </c>
      <c r="D67" s="258"/>
      <c r="E67" s="258">
        <f>SUM(E68+E70+E71)</f>
        <v>0</v>
      </c>
      <c r="F67" s="258">
        <f t="shared" ref="F67:G67" si="11">SUM(F68+F70+F71)</f>
        <v>0</v>
      </c>
      <c r="G67" s="258">
        <f t="shared" si="11"/>
        <v>0</v>
      </c>
      <c r="H67" s="257" t="s">
        <v>14</v>
      </c>
    </row>
    <row r="68" spans="1:8" x14ac:dyDescent="0.25">
      <c r="A68" s="259" t="s">
        <v>274</v>
      </c>
      <c r="B68" s="400">
        <v>2410</v>
      </c>
      <c r="C68" s="401">
        <v>810</v>
      </c>
      <c r="D68" s="398"/>
      <c r="E68" s="398"/>
      <c r="F68" s="398"/>
      <c r="G68" s="398"/>
      <c r="H68" s="401" t="s">
        <v>14</v>
      </c>
    </row>
    <row r="69" spans="1:8" ht="25.5" x14ac:dyDescent="0.25">
      <c r="A69" s="259" t="s">
        <v>446</v>
      </c>
      <c r="B69" s="400"/>
      <c r="C69" s="401"/>
      <c r="D69" s="398"/>
      <c r="E69" s="398"/>
      <c r="F69" s="398"/>
      <c r="G69" s="398"/>
      <c r="H69" s="401"/>
    </row>
    <row r="70" spans="1:8" x14ac:dyDescent="0.25">
      <c r="A70" s="259" t="s">
        <v>447</v>
      </c>
      <c r="B70" s="260">
        <v>2420</v>
      </c>
      <c r="C70" s="257">
        <v>862</v>
      </c>
      <c r="D70" s="258"/>
      <c r="E70" s="258"/>
      <c r="F70" s="258"/>
      <c r="G70" s="258"/>
      <c r="H70" s="257" t="s">
        <v>14</v>
      </c>
    </row>
    <row r="71" spans="1:8" ht="51" x14ac:dyDescent="0.25">
      <c r="A71" s="259" t="s">
        <v>448</v>
      </c>
      <c r="B71" s="260">
        <v>2430</v>
      </c>
      <c r="C71" s="257">
        <v>863</v>
      </c>
      <c r="D71" s="258"/>
      <c r="E71" s="258"/>
      <c r="F71" s="258"/>
      <c r="G71" s="258"/>
      <c r="H71" s="257" t="s">
        <v>14</v>
      </c>
    </row>
    <row r="72" spans="1:8" ht="25.5" x14ac:dyDescent="0.25">
      <c r="A72" s="259" t="s">
        <v>449</v>
      </c>
      <c r="B72" s="260">
        <v>2500</v>
      </c>
      <c r="C72" s="257" t="s">
        <v>14</v>
      </c>
      <c r="D72" s="258"/>
      <c r="E72" s="258"/>
      <c r="F72" s="258"/>
      <c r="G72" s="258"/>
      <c r="H72" s="257" t="s">
        <v>14</v>
      </c>
    </row>
    <row r="73" spans="1:8" ht="51" x14ac:dyDescent="0.25">
      <c r="A73" s="259" t="s">
        <v>450</v>
      </c>
      <c r="B73" s="260">
        <v>2520</v>
      </c>
      <c r="C73" s="257">
        <v>831</v>
      </c>
      <c r="D73" s="258"/>
      <c r="E73" s="258"/>
      <c r="F73" s="258"/>
      <c r="G73" s="258"/>
      <c r="H73" s="257" t="s">
        <v>14</v>
      </c>
    </row>
    <row r="74" spans="1:8" ht="25.5" x14ac:dyDescent="0.25">
      <c r="A74" s="259" t="s">
        <v>451</v>
      </c>
      <c r="B74" s="260">
        <v>2600</v>
      </c>
      <c r="C74" s="257" t="s">
        <v>14</v>
      </c>
      <c r="D74" s="258"/>
      <c r="E74" s="278">
        <f>E75+E77+E78+E79+E81</f>
        <v>7796960</v>
      </c>
      <c r="F74" s="278">
        <f t="shared" ref="F74:H74" si="12">F75+F77+F78+F79+F81</f>
        <v>7748960</v>
      </c>
      <c r="G74" s="278">
        <f t="shared" si="12"/>
        <v>7653960</v>
      </c>
      <c r="H74" s="258">
        <f t="shared" si="12"/>
        <v>0</v>
      </c>
    </row>
    <row r="75" spans="1:8" x14ac:dyDescent="0.25">
      <c r="A75" s="259" t="s">
        <v>9</v>
      </c>
      <c r="B75" s="400">
        <v>2610</v>
      </c>
      <c r="C75" s="401">
        <v>241</v>
      </c>
      <c r="D75" s="398"/>
      <c r="E75" s="398"/>
      <c r="F75" s="398"/>
      <c r="G75" s="398"/>
      <c r="H75" s="398"/>
    </row>
    <row r="76" spans="1:8" ht="25.5" x14ac:dyDescent="0.25">
      <c r="A76" s="259" t="s">
        <v>452</v>
      </c>
      <c r="B76" s="400"/>
      <c r="C76" s="401"/>
      <c r="D76" s="398"/>
      <c r="E76" s="398"/>
      <c r="F76" s="398"/>
      <c r="G76" s="398"/>
      <c r="H76" s="398"/>
    </row>
    <row r="77" spans="1:8" ht="38.25" x14ac:dyDescent="0.25">
      <c r="A77" s="259" t="s">
        <v>453</v>
      </c>
      <c r="B77" s="260">
        <v>2620</v>
      </c>
      <c r="C77" s="257">
        <v>242</v>
      </c>
      <c r="D77" s="258"/>
      <c r="E77" s="258"/>
      <c r="F77" s="258"/>
      <c r="G77" s="258"/>
      <c r="H77" s="258"/>
    </row>
    <row r="78" spans="1:8" ht="38.25" x14ac:dyDescent="0.25">
      <c r="A78" s="259" t="s">
        <v>454</v>
      </c>
      <c r="B78" s="260">
        <v>2630</v>
      </c>
      <c r="C78" s="257">
        <v>243</v>
      </c>
      <c r="D78" s="258"/>
      <c r="E78" s="258"/>
      <c r="F78" s="258"/>
      <c r="G78" s="258"/>
      <c r="H78" s="258"/>
    </row>
    <row r="79" spans="1:8" ht="25.5" x14ac:dyDescent="0.25">
      <c r="A79" s="259" t="s">
        <v>455</v>
      </c>
      <c r="B79" s="260">
        <v>2640</v>
      </c>
      <c r="C79" s="257">
        <v>244</v>
      </c>
      <c r="D79" s="258"/>
      <c r="E79" s="278">
        <v>7796960</v>
      </c>
      <c r="F79" s="278">
        <v>7748960</v>
      </c>
      <c r="G79" s="278">
        <f>7748960-115000+20000</f>
        <v>7653960</v>
      </c>
      <c r="H79" s="258"/>
    </row>
    <row r="80" spans="1:8" x14ac:dyDescent="0.25">
      <c r="A80" s="259" t="s">
        <v>274</v>
      </c>
      <c r="B80" s="261"/>
      <c r="C80" s="258"/>
      <c r="D80" s="258"/>
      <c r="E80" s="258"/>
      <c r="F80" s="258"/>
      <c r="G80" s="258"/>
      <c r="H80" s="258"/>
    </row>
    <row r="81" spans="1:8" ht="25.5" x14ac:dyDescent="0.25">
      <c r="A81" s="259" t="s">
        <v>456</v>
      </c>
      <c r="B81" s="260">
        <v>2650</v>
      </c>
      <c r="C81" s="257">
        <v>400</v>
      </c>
      <c r="D81" s="258"/>
      <c r="E81" s="258">
        <f>SUM(E82:E84)</f>
        <v>0</v>
      </c>
      <c r="F81" s="258">
        <f t="shared" ref="F81:H81" si="13">SUM(F82:F84)</f>
        <v>0</v>
      </c>
      <c r="G81" s="258">
        <f t="shared" si="13"/>
        <v>0</v>
      </c>
      <c r="H81" s="258">
        <f t="shared" si="13"/>
        <v>0</v>
      </c>
    </row>
    <row r="82" spans="1:8" x14ac:dyDescent="0.25">
      <c r="A82" s="259" t="s">
        <v>9</v>
      </c>
      <c r="B82" s="400">
        <v>2651</v>
      </c>
      <c r="C82" s="401">
        <v>406</v>
      </c>
      <c r="D82" s="398"/>
      <c r="E82" s="398"/>
      <c r="F82" s="398"/>
      <c r="G82" s="398"/>
      <c r="H82" s="398"/>
    </row>
    <row r="83" spans="1:8" ht="38.25" x14ac:dyDescent="0.25">
      <c r="A83" s="259" t="s">
        <v>457</v>
      </c>
      <c r="B83" s="400"/>
      <c r="C83" s="401"/>
      <c r="D83" s="398"/>
      <c r="E83" s="398"/>
      <c r="F83" s="398"/>
      <c r="G83" s="398"/>
      <c r="H83" s="398"/>
    </row>
    <row r="84" spans="1:8" ht="38.25" x14ac:dyDescent="0.25">
      <c r="A84" s="259" t="s">
        <v>458</v>
      </c>
      <c r="B84" s="260">
        <v>2652</v>
      </c>
      <c r="C84" s="257">
        <v>407</v>
      </c>
      <c r="D84" s="258"/>
      <c r="E84" s="258"/>
      <c r="F84" s="258"/>
      <c r="G84" s="258"/>
      <c r="H84" s="258"/>
    </row>
    <row r="85" spans="1:8" s="267" customFormat="1" x14ac:dyDescent="0.25">
      <c r="A85" s="268" t="s">
        <v>459</v>
      </c>
      <c r="B85" s="264">
        <v>3000</v>
      </c>
      <c r="C85" s="265">
        <v>100</v>
      </c>
      <c r="D85" s="266"/>
      <c r="E85" s="277">
        <f>SUM(E86+E88+E89)</f>
        <v>-4000</v>
      </c>
      <c r="F85" s="277">
        <f t="shared" ref="F85:G85" si="14">SUM(F86+F88+F89)</f>
        <v>-4000</v>
      </c>
      <c r="G85" s="277">
        <f t="shared" si="14"/>
        <v>-4000</v>
      </c>
      <c r="H85" s="265" t="s">
        <v>14</v>
      </c>
    </row>
    <row r="86" spans="1:8" x14ac:dyDescent="0.25">
      <c r="A86" s="259" t="s">
        <v>9</v>
      </c>
      <c r="B86" s="400">
        <v>3010</v>
      </c>
      <c r="C86" s="398"/>
      <c r="D86" s="398"/>
      <c r="E86" s="399">
        <v>-2000</v>
      </c>
      <c r="F86" s="399">
        <v>-2000</v>
      </c>
      <c r="G86" s="399">
        <v>-2000</v>
      </c>
      <c r="H86" s="401" t="s">
        <v>14</v>
      </c>
    </row>
    <row r="87" spans="1:8" x14ac:dyDescent="0.25">
      <c r="A87" s="259" t="s">
        <v>460</v>
      </c>
      <c r="B87" s="400"/>
      <c r="C87" s="398"/>
      <c r="D87" s="398"/>
      <c r="E87" s="399"/>
      <c r="F87" s="399"/>
      <c r="G87" s="399"/>
      <c r="H87" s="401"/>
    </row>
    <row r="88" spans="1:8" x14ac:dyDescent="0.25">
      <c r="A88" s="259" t="s">
        <v>461</v>
      </c>
      <c r="B88" s="260">
        <v>3020</v>
      </c>
      <c r="C88" s="258"/>
      <c r="D88" s="258"/>
      <c r="E88" s="278">
        <v>-2000</v>
      </c>
      <c r="F88" s="278">
        <v>-2000</v>
      </c>
      <c r="G88" s="278">
        <v>-2000</v>
      </c>
      <c r="H88" s="257" t="s">
        <v>14</v>
      </c>
    </row>
    <row r="89" spans="1:8" x14ac:dyDescent="0.25">
      <c r="A89" s="259" t="s">
        <v>462</v>
      </c>
      <c r="B89" s="260">
        <v>3030</v>
      </c>
      <c r="C89" s="258"/>
      <c r="D89" s="258"/>
      <c r="E89" s="258"/>
      <c r="F89" s="258"/>
      <c r="G89" s="258"/>
      <c r="H89" s="257" t="s">
        <v>14</v>
      </c>
    </row>
    <row r="90" spans="1:8" s="267" customFormat="1" x14ac:dyDescent="0.25">
      <c r="A90" s="268" t="s">
        <v>463</v>
      </c>
      <c r="B90" s="264">
        <v>4000</v>
      </c>
      <c r="C90" s="265" t="s">
        <v>14</v>
      </c>
      <c r="D90" s="266"/>
      <c r="E90" s="266">
        <f>SUM(E91)</f>
        <v>0</v>
      </c>
      <c r="F90" s="266">
        <f t="shared" ref="F90:G90" si="15">SUM(F91)</f>
        <v>0</v>
      </c>
      <c r="G90" s="266">
        <f t="shared" si="15"/>
        <v>0</v>
      </c>
      <c r="H90" s="265" t="s">
        <v>14</v>
      </c>
    </row>
    <row r="91" spans="1:8" x14ac:dyDescent="0.25">
      <c r="A91" s="259" t="s">
        <v>274</v>
      </c>
      <c r="B91" s="400">
        <v>4010</v>
      </c>
      <c r="C91" s="401">
        <v>610</v>
      </c>
      <c r="D91" s="398"/>
      <c r="E91" s="398"/>
      <c r="F91" s="398"/>
      <c r="G91" s="398"/>
      <c r="H91" s="401" t="s">
        <v>14</v>
      </c>
    </row>
    <row r="92" spans="1:8" x14ac:dyDescent="0.25">
      <c r="A92" s="259" t="s">
        <v>464</v>
      </c>
      <c r="B92" s="400"/>
      <c r="C92" s="401"/>
      <c r="D92" s="398"/>
      <c r="E92" s="398"/>
      <c r="F92" s="398"/>
      <c r="G92" s="398"/>
      <c r="H92" s="401"/>
    </row>
    <row r="93" spans="1:8" x14ac:dyDescent="0.25">
      <c r="A93" s="256"/>
      <c r="B93" s="261"/>
      <c r="C93" s="258"/>
      <c r="D93" s="258"/>
      <c r="E93" s="258"/>
      <c r="F93" s="258"/>
      <c r="G93" s="258"/>
      <c r="H93" s="258"/>
    </row>
    <row r="94" spans="1:8" ht="46.5" customHeight="1" x14ac:dyDescent="0.25">
      <c r="A94" s="405" t="s">
        <v>469</v>
      </c>
      <c r="B94" s="405"/>
      <c r="C94" s="405"/>
      <c r="D94" s="405"/>
      <c r="E94" s="405"/>
      <c r="F94" s="405"/>
      <c r="G94" s="405"/>
      <c r="H94" s="405"/>
    </row>
  </sheetData>
  <mergeCells count="135">
    <mergeCell ref="A3:H3"/>
    <mergeCell ref="A94:H94"/>
    <mergeCell ref="H86:H87"/>
    <mergeCell ref="B91:B92"/>
    <mergeCell ref="C91:C92"/>
    <mergeCell ref="D91:D92"/>
    <mergeCell ref="E91:E92"/>
    <mergeCell ref="F91:F92"/>
    <mergeCell ref="G91:G92"/>
    <mergeCell ref="H91:H92"/>
    <mergeCell ref="H75:H76"/>
    <mergeCell ref="B82:B83"/>
    <mergeCell ref="C82:C83"/>
    <mergeCell ref="D82:D83"/>
    <mergeCell ref="E82:E83"/>
    <mergeCell ref="F82:F83"/>
    <mergeCell ref="G82:G83"/>
    <mergeCell ref="H82:H83"/>
    <mergeCell ref="H63:H64"/>
    <mergeCell ref="B68:B69"/>
    <mergeCell ref="C68:C69"/>
    <mergeCell ref="D68:D69"/>
    <mergeCell ref="E68:E69"/>
    <mergeCell ref="F68:F69"/>
    <mergeCell ref="G68:G69"/>
    <mergeCell ref="H68:H69"/>
    <mergeCell ref="H54:H55"/>
    <mergeCell ref="B56:B57"/>
    <mergeCell ref="C56:C57"/>
    <mergeCell ref="D56:D57"/>
    <mergeCell ref="E56:E57"/>
    <mergeCell ref="F56:F57"/>
    <mergeCell ref="G56:G57"/>
    <mergeCell ref="H56:H57"/>
    <mergeCell ref="B63:B64"/>
    <mergeCell ref="C63:C64"/>
    <mergeCell ref="D63:D64"/>
    <mergeCell ref="E63:E64"/>
    <mergeCell ref="F63:F64"/>
    <mergeCell ref="G63:G64"/>
    <mergeCell ref="B54:B55"/>
    <mergeCell ref="C54:C55"/>
    <mergeCell ref="D54:D55"/>
    <mergeCell ref="E54:E55"/>
    <mergeCell ref="F54:F55"/>
    <mergeCell ref="G54:G55"/>
    <mergeCell ref="H44:H45"/>
    <mergeCell ref="B50:B51"/>
    <mergeCell ref="C50:C51"/>
    <mergeCell ref="D50:D51"/>
    <mergeCell ref="E50:E51"/>
    <mergeCell ref="F50:F51"/>
    <mergeCell ref="G50:G51"/>
    <mergeCell ref="H50:H51"/>
    <mergeCell ref="H37:H38"/>
    <mergeCell ref="B39:B40"/>
    <mergeCell ref="C39:C40"/>
    <mergeCell ref="D39:D40"/>
    <mergeCell ref="E39:E40"/>
    <mergeCell ref="F39:F40"/>
    <mergeCell ref="G39:G40"/>
    <mergeCell ref="H39:H40"/>
    <mergeCell ref="B44:B45"/>
    <mergeCell ref="C44:C45"/>
    <mergeCell ref="D44:D45"/>
    <mergeCell ref="E44:E45"/>
    <mergeCell ref="F44:F45"/>
    <mergeCell ref="G44:G45"/>
    <mergeCell ref="B37:B38"/>
    <mergeCell ref="C37:C38"/>
    <mergeCell ref="H25:H26"/>
    <mergeCell ref="B33:B34"/>
    <mergeCell ref="C33:C34"/>
    <mergeCell ref="D33:D34"/>
    <mergeCell ref="E33:E34"/>
    <mergeCell ref="F33:F34"/>
    <mergeCell ref="G33:G34"/>
    <mergeCell ref="H33:H34"/>
    <mergeCell ref="G15:G16"/>
    <mergeCell ref="H15:H16"/>
    <mergeCell ref="A20:A21"/>
    <mergeCell ref="B20:B21"/>
    <mergeCell ref="C20:C21"/>
    <mergeCell ref="D20:D21"/>
    <mergeCell ref="E20:E21"/>
    <mergeCell ref="F20:F21"/>
    <mergeCell ref="G20:G21"/>
    <mergeCell ref="H20:H21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B15:B16"/>
    <mergeCell ref="C15:C16"/>
    <mergeCell ref="D15:D16"/>
    <mergeCell ref="E15:E16"/>
    <mergeCell ref="F15:F16"/>
    <mergeCell ref="A4:A5"/>
    <mergeCell ref="B4:B5"/>
    <mergeCell ref="C4:C5"/>
    <mergeCell ref="D4:D5"/>
    <mergeCell ref="E4:H4"/>
    <mergeCell ref="B10:B11"/>
    <mergeCell ref="C10:C11"/>
    <mergeCell ref="D10:D11"/>
    <mergeCell ref="E10:E11"/>
    <mergeCell ref="F10:F11"/>
    <mergeCell ref="B86:B87"/>
    <mergeCell ref="C86:C87"/>
    <mergeCell ref="D86:D87"/>
    <mergeCell ref="E86:E87"/>
    <mergeCell ref="F86:F87"/>
    <mergeCell ref="G86:G87"/>
    <mergeCell ref="B75:B76"/>
    <mergeCell ref="C75:C76"/>
    <mergeCell ref="D75:D76"/>
    <mergeCell ref="E75:E76"/>
    <mergeCell ref="F75:F76"/>
    <mergeCell ref="G75:G76"/>
    <mergeCell ref="D37:D38"/>
    <mergeCell ref="E37:E38"/>
    <mergeCell ref="F37:F38"/>
    <mergeCell ref="G37:G38"/>
    <mergeCell ref="B25:B26"/>
    <mergeCell ref="C25:C26"/>
    <mergeCell ref="D25:D26"/>
    <mergeCell ref="E25:E26"/>
    <mergeCell ref="F25:F26"/>
    <mergeCell ref="G25:G26"/>
  </mergeCells>
  <pageMargins left="0.7" right="0.11" top="0.26" bottom="0.28999999999999998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0" zoomScaleNormal="100" zoomScaleSheetLayoutView="100" workbookViewId="0">
      <selection activeCell="E12" sqref="E12"/>
    </sheetView>
  </sheetViews>
  <sheetFormatPr defaultRowHeight="15" x14ac:dyDescent="0.25"/>
  <cols>
    <col min="1" max="1" width="10.140625" customWidth="1"/>
    <col min="2" max="2" width="43.7109375" customWidth="1"/>
    <col min="5" max="5" width="12.42578125" customWidth="1"/>
    <col min="6" max="6" width="12.5703125" customWidth="1"/>
    <col min="7" max="7" width="12.85546875" customWidth="1"/>
  </cols>
  <sheetData>
    <row r="1" spans="1:8" ht="15.75" x14ac:dyDescent="0.25">
      <c r="B1" s="262" t="s">
        <v>498</v>
      </c>
    </row>
    <row r="4" spans="1:8" x14ac:dyDescent="0.25">
      <c r="A4" s="402" t="s">
        <v>272</v>
      </c>
      <c r="B4" s="402" t="s">
        <v>44</v>
      </c>
      <c r="C4" s="402" t="s">
        <v>470</v>
      </c>
      <c r="D4" s="402" t="s">
        <v>278</v>
      </c>
      <c r="E4" s="402" t="s">
        <v>407</v>
      </c>
      <c r="F4" s="402"/>
      <c r="G4" s="402"/>
      <c r="H4" s="402"/>
    </row>
    <row r="5" spans="1:8" ht="63.75" x14ac:dyDescent="0.25">
      <c r="A5" s="402"/>
      <c r="B5" s="402"/>
      <c r="C5" s="402"/>
      <c r="D5" s="402"/>
      <c r="E5" s="247" t="s">
        <v>499</v>
      </c>
      <c r="F5" s="247" t="s">
        <v>500</v>
      </c>
      <c r="G5" s="247" t="s">
        <v>501</v>
      </c>
      <c r="H5" s="247" t="s">
        <v>408</v>
      </c>
    </row>
    <row r="6" spans="1:8" x14ac:dyDescent="0.25">
      <c r="A6" s="257">
        <v>1</v>
      </c>
      <c r="B6" s="247">
        <v>2</v>
      </c>
      <c r="C6" s="247">
        <v>3</v>
      </c>
      <c r="D6" s="247">
        <v>4</v>
      </c>
      <c r="E6" s="247">
        <v>5</v>
      </c>
      <c r="F6" s="247">
        <v>6</v>
      </c>
      <c r="G6" s="247">
        <v>7</v>
      </c>
      <c r="H6" s="247">
        <v>8</v>
      </c>
    </row>
    <row r="7" spans="1:8" x14ac:dyDescent="0.25">
      <c r="A7" s="257">
        <v>1</v>
      </c>
      <c r="B7" s="256" t="s">
        <v>471</v>
      </c>
      <c r="C7" s="257">
        <v>26000</v>
      </c>
      <c r="D7" s="257" t="s">
        <v>14</v>
      </c>
      <c r="E7" s="278">
        <f>E8+E10+E11+E12</f>
        <v>7796960</v>
      </c>
      <c r="F7" s="278">
        <f t="shared" ref="F7:G7" si="0">F8+F10+F11+F12</f>
        <v>7748960</v>
      </c>
      <c r="G7" s="278">
        <f t="shared" si="0"/>
        <v>7653960</v>
      </c>
      <c r="H7" s="258"/>
    </row>
    <row r="8" spans="1:8" x14ac:dyDescent="0.25">
      <c r="A8" s="401" t="s">
        <v>27</v>
      </c>
      <c r="B8" s="256" t="s">
        <v>9</v>
      </c>
      <c r="C8" s="401">
        <v>26100</v>
      </c>
      <c r="D8" s="401" t="s">
        <v>14</v>
      </c>
      <c r="E8" s="399">
        <v>0</v>
      </c>
      <c r="F8" s="399">
        <v>0</v>
      </c>
      <c r="G8" s="399">
        <v>0</v>
      </c>
      <c r="H8" s="398"/>
    </row>
    <row r="9" spans="1:8" ht="127.5" x14ac:dyDescent="0.25">
      <c r="A9" s="401"/>
      <c r="B9" s="269" t="s">
        <v>472</v>
      </c>
      <c r="C9" s="401"/>
      <c r="D9" s="401"/>
      <c r="E9" s="399"/>
      <c r="F9" s="399"/>
      <c r="G9" s="399"/>
      <c r="H9" s="398"/>
    </row>
    <row r="10" spans="1:8" ht="51" x14ac:dyDescent="0.25">
      <c r="A10" s="257" t="s">
        <v>29</v>
      </c>
      <c r="B10" s="256" t="s">
        <v>473</v>
      </c>
      <c r="C10" s="257">
        <v>26200</v>
      </c>
      <c r="D10" s="257" t="s">
        <v>14</v>
      </c>
      <c r="E10" s="278">
        <v>0</v>
      </c>
      <c r="F10" s="278">
        <v>0</v>
      </c>
      <c r="G10" s="278">
        <v>0</v>
      </c>
      <c r="H10" s="258"/>
    </row>
    <row r="11" spans="1:8" ht="51" x14ac:dyDescent="0.25">
      <c r="A11" s="257" t="s">
        <v>31</v>
      </c>
      <c r="B11" s="256" t="s">
        <v>474</v>
      </c>
      <c r="C11" s="257">
        <v>26300</v>
      </c>
      <c r="D11" s="257" t="s">
        <v>14</v>
      </c>
      <c r="E11" s="278">
        <v>4441364.8499999996</v>
      </c>
      <c r="F11" s="278">
        <v>0</v>
      </c>
      <c r="G11" s="278">
        <v>0</v>
      </c>
      <c r="H11" s="258"/>
    </row>
    <row r="12" spans="1:8" ht="51" x14ac:dyDescent="0.25">
      <c r="A12" s="257" t="s">
        <v>270</v>
      </c>
      <c r="B12" s="256" t="s">
        <v>475</v>
      </c>
      <c r="C12" s="257">
        <v>26400</v>
      </c>
      <c r="D12" s="257" t="s">
        <v>14</v>
      </c>
      <c r="E12" s="278">
        <f>E13+E18+E22+E23+E27</f>
        <v>3355595.1500000004</v>
      </c>
      <c r="F12" s="287">
        <f t="shared" ref="F12:G12" si="1">F13+F18+F22+F23+F27</f>
        <v>7748960</v>
      </c>
      <c r="G12" s="287">
        <f t="shared" si="1"/>
        <v>7653960</v>
      </c>
      <c r="H12" s="258"/>
    </row>
    <row r="13" spans="1:8" x14ac:dyDescent="0.25">
      <c r="A13" s="401" t="s">
        <v>688</v>
      </c>
      <c r="B13" s="256" t="s">
        <v>9</v>
      </c>
      <c r="C13" s="401">
        <v>26410</v>
      </c>
      <c r="D13" s="401" t="s">
        <v>14</v>
      </c>
      <c r="E13" s="399">
        <f>E15+E17</f>
        <v>607513.82000000007</v>
      </c>
      <c r="F13" s="399">
        <f t="shared" ref="F13:G13" si="2">F15+F17</f>
        <v>1678000</v>
      </c>
      <c r="G13" s="399">
        <f t="shared" si="2"/>
        <v>1678000</v>
      </c>
      <c r="H13" s="398"/>
    </row>
    <row r="14" spans="1:8" ht="25.5" x14ac:dyDescent="0.25">
      <c r="A14" s="401"/>
      <c r="B14" s="256" t="s">
        <v>476</v>
      </c>
      <c r="C14" s="401"/>
      <c r="D14" s="401"/>
      <c r="E14" s="399"/>
      <c r="F14" s="399"/>
      <c r="G14" s="399"/>
      <c r="H14" s="398"/>
    </row>
    <row r="15" spans="1:8" x14ac:dyDescent="0.25">
      <c r="A15" s="401" t="s">
        <v>477</v>
      </c>
      <c r="B15" s="256" t="s">
        <v>9</v>
      </c>
      <c r="C15" s="401">
        <v>26411</v>
      </c>
      <c r="D15" s="401" t="s">
        <v>14</v>
      </c>
      <c r="E15" s="399">
        <f>1678000-1070486.18</f>
        <v>607513.82000000007</v>
      </c>
      <c r="F15" s="399">
        <v>1678000</v>
      </c>
      <c r="G15" s="399">
        <v>1678000</v>
      </c>
      <c r="H15" s="398"/>
    </row>
    <row r="16" spans="1:8" ht="30" x14ac:dyDescent="0.25">
      <c r="A16" s="401"/>
      <c r="B16" s="270" t="s">
        <v>478</v>
      </c>
      <c r="C16" s="401"/>
      <c r="D16" s="401"/>
      <c r="E16" s="399"/>
      <c r="F16" s="399"/>
      <c r="G16" s="399"/>
      <c r="H16" s="398"/>
    </row>
    <row r="17" spans="1:8" ht="30" x14ac:dyDescent="0.25">
      <c r="A17" s="257" t="s">
        <v>479</v>
      </c>
      <c r="B17" s="270" t="s">
        <v>480</v>
      </c>
      <c r="C17" s="257">
        <v>26412</v>
      </c>
      <c r="D17" s="257" t="s">
        <v>14</v>
      </c>
      <c r="E17" s="278">
        <v>0</v>
      </c>
      <c r="F17" s="278">
        <v>0</v>
      </c>
      <c r="G17" s="278">
        <v>0</v>
      </c>
      <c r="H17" s="258"/>
    </row>
    <row r="18" spans="1:8" ht="60" x14ac:dyDescent="0.25">
      <c r="A18" s="257" t="s">
        <v>481</v>
      </c>
      <c r="B18" s="270" t="s">
        <v>482</v>
      </c>
      <c r="C18" s="257">
        <v>26420</v>
      </c>
      <c r="D18" s="257" t="s">
        <v>14</v>
      </c>
      <c r="E18" s="278">
        <f>E19+E21</f>
        <v>698160</v>
      </c>
      <c r="F18" s="278">
        <f t="shared" ref="F18:G18" si="3">F19+F21</f>
        <v>650160</v>
      </c>
      <c r="G18" s="278">
        <f t="shared" si="3"/>
        <v>555160</v>
      </c>
      <c r="H18" s="258"/>
    </row>
    <row r="19" spans="1:8" x14ac:dyDescent="0.25">
      <c r="A19" s="401" t="s">
        <v>483</v>
      </c>
      <c r="B19" s="256" t="s">
        <v>9</v>
      </c>
      <c r="C19" s="401">
        <v>26421</v>
      </c>
      <c r="D19" s="401" t="s">
        <v>14</v>
      </c>
      <c r="E19" s="399">
        <f>738160-40000</f>
        <v>698160</v>
      </c>
      <c r="F19" s="399">
        <f>690160-40000</f>
        <v>650160</v>
      </c>
      <c r="G19" s="399">
        <f>595160-40000</f>
        <v>555160</v>
      </c>
      <c r="H19" s="398"/>
    </row>
    <row r="20" spans="1:8" ht="30" x14ac:dyDescent="0.25">
      <c r="A20" s="401"/>
      <c r="B20" s="270" t="s">
        <v>478</v>
      </c>
      <c r="C20" s="401"/>
      <c r="D20" s="401"/>
      <c r="E20" s="399"/>
      <c r="F20" s="399"/>
      <c r="G20" s="399"/>
      <c r="H20" s="398"/>
    </row>
    <row r="21" spans="1:8" ht="30" x14ac:dyDescent="0.25">
      <c r="A21" s="257" t="s">
        <v>484</v>
      </c>
      <c r="B21" s="270" t="s">
        <v>480</v>
      </c>
      <c r="C21" s="257">
        <v>26422</v>
      </c>
      <c r="D21" s="257" t="s">
        <v>14</v>
      </c>
      <c r="E21" s="278">
        <v>0</v>
      </c>
      <c r="F21" s="278">
        <v>0</v>
      </c>
      <c r="G21" s="278">
        <v>0</v>
      </c>
      <c r="H21" s="258"/>
    </row>
    <row r="22" spans="1:8" ht="25.5" x14ac:dyDescent="0.25">
      <c r="A22" s="257" t="s">
        <v>485</v>
      </c>
      <c r="B22" s="256" t="s">
        <v>486</v>
      </c>
      <c r="C22" s="257">
        <v>26430</v>
      </c>
      <c r="D22" s="257" t="s">
        <v>14</v>
      </c>
      <c r="E22" s="278">
        <v>0</v>
      </c>
      <c r="F22" s="278">
        <v>0</v>
      </c>
      <c r="G22" s="278">
        <v>0</v>
      </c>
      <c r="H22" s="258"/>
    </row>
    <row r="23" spans="1:8" ht="25.5" x14ac:dyDescent="0.25">
      <c r="A23" s="257" t="s">
        <v>487</v>
      </c>
      <c r="B23" s="256" t="s">
        <v>488</v>
      </c>
      <c r="C23" s="257">
        <v>26440</v>
      </c>
      <c r="D23" s="257" t="s">
        <v>14</v>
      </c>
      <c r="E23" s="278">
        <f>E24+E26</f>
        <v>0</v>
      </c>
      <c r="F23" s="278">
        <f t="shared" ref="F23:G23" si="4">F24+F26</f>
        <v>0</v>
      </c>
      <c r="G23" s="278">
        <f t="shared" si="4"/>
        <v>0</v>
      </c>
      <c r="H23" s="258"/>
    </row>
    <row r="24" spans="1:8" x14ac:dyDescent="0.25">
      <c r="A24" s="401" t="s">
        <v>489</v>
      </c>
      <c r="B24" s="256" t="s">
        <v>9</v>
      </c>
      <c r="C24" s="401">
        <v>26441</v>
      </c>
      <c r="D24" s="401" t="s">
        <v>14</v>
      </c>
      <c r="E24" s="399"/>
      <c r="F24" s="399"/>
      <c r="G24" s="399"/>
      <c r="H24" s="398"/>
    </row>
    <row r="25" spans="1:8" ht="30" x14ac:dyDescent="0.25">
      <c r="A25" s="401"/>
      <c r="B25" s="270" t="s">
        <v>478</v>
      </c>
      <c r="C25" s="401"/>
      <c r="D25" s="401"/>
      <c r="E25" s="399"/>
      <c r="F25" s="399"/>
      <c r="G25" s="399"/>
      <c r="H25" s="398"/>
    </row>
    <row r="26" spans="1:8" ht="30" x14ac:dyDescent="0.25">
      <c r="A26" s="257" t="s">
        <v>490</v>
      </c>
      <c r="B26" s="270" t="s">
        <v>480</v>
      </c>
      <c r="C26" s="257">
        <v>26442</v>
      </c>
      <c r="D26" s="257" t="s">
        <v>14</v>
      </c>
      <c r="E26" s="278"/>
      <c r="F26" s="278"/>
      <c r="G26" s="278"/>
      <c r="H26" s="258"/>
    </row>
    <row r="27" spans="1:8" ht="25.5" x14ac:dyDescent="0.25">
      <c r="A27" s="257" t="s">
        <v>491</v>
      </c>
      <c r="B27" s="256" t="s">
        <v>492</v>
      </c>
      <c r="C27" s="257">
        <v>26450</v>
      </c>
      <c r="D27" s="257" t="s">
        <v>14</v>
      </c>
      <c r="E27" s="278">
        <f>E28+E30</f>
        <v>2049921.33</v>
      </c>
      <c r="F27" s="278">
        <f t="shared" ref="F27:G27" si="5">F28+F30</f>
        <v>5420800</v>
      </c>
      <c r="G27" s="278">
        <f t="shared" si="5"/>
        <v>5420800</v>
      </c>
      <c r="H27" s="258"/>
    </row>
    <row r="28" spans="1:8" x14ac:dyDescent="0.25">
      <c r="A28" s="401" t="s">
        <v>493</v>
      </c>
      <c r="B28" s="256" t="s">
        <v>9</v>
      </c>
      <c r="C28" s="401">
        <v>26451</v>
      </c>
      <c r="D28" s="401" t="s">
        <v>14</v>
      </c>
      <c r="E28" s="399">
        <f>5420800-34800-3336078.67</f>
        <v>2049921.33</v>
      </c>
      <c r="F28" s="399">
        <v>5420800</v>
      </c>
      <c r="G28" s="399">
        <v>5420800</v>
      </c>
      <c r="H28" s="398"/>
    </row>
    <row r="29" spans="1:8" ht="30" x14ac:dyDescent="0.25">
      <c r="A29" s="401"/>
      <c r="B29" s="270" t="s">
        <v>478</v>
      </c>
      <c r="C29" s="401"/>
      <c r="D29" s="401"/>
      <c r="E29" s="399"/>
      <c r="F29" s="399"/>
      <c r="G29" s="399"/>
      <c r="H29" s="398"/>
    </row>
    <row r="30" spans="1:8" ht="30" x14ac:dyDescent="0.25">
      <c r="A30" s="257" t="s">
        <v>494</v>
      </c>
      <c r="B30" s="270" t="s">
        <v>480</v>
      </c>
      <c r="C30" s="257">
        <v>26452</v>
      </c>
      <c r="D30" s="257" t="s">
        <v>14</v>
      </c>
      <c r="E30" s="278">
        <v>0</v>
      </c>
      <c r="F30" s="278">
        <v>0</v>
      </c>
      <c r="G30" s="278">
        <v>0</v>
      </c>
      <c r="H30" s="258"/>
    </row>
    <row r="31" spans="1:8" ht="60" x14ac:dyDescent="0.25">
      <c r="A31" s="257" t="s">
        <v>75</v>
      </c>
      <c r="B31" s="270" t="s">
        <v>495</v>
      </c>
      <c r="C31" s="257">
        <v>26500</v>
      </c>
      <c r="D31" s="257" t="s">
        <v>14</v>
      </c>
      <c r="E31" s="278">
        <f>E33</f>
        <v>0</v>
      </c>
      <c r="F31" s="278">
        <f t="shared" ref="F31:G31" si="6">F33</f>
        <v>0</v>
      </c>
      <c r="G31" s="278">
        <f t="shared" si="6"/>
        <v>0</v>
      </c>
      <c r="H31" s="258"/>
    </row>
    <row r="32" spans="1:8" x14ac:dyDescent="0.25">
      <c r="A32" s="269"/>
      <c r="B32" s="256"/>
      <c r="C32" s="256"/>
      <c r="D32" s="256"/>
      <c r="E32" s="279"/>
      <c r="F32" s="279"/>
      <c r="G32" s="279"/>
      <c r="H32" s="256"/>
    </row>
    <row r="33" spans="1:10" x14ac:dyDescent="0.25">
      <c r="A33" s="269"/>
      <c r="B33" s="247" t="s">
        <v>496</v>
      </c>
      <c r="C33" s="247">
        <v>26510</v>
      </c>
      <c r="D33" s="256"/>
      <c r="E33" s="279"/>
      <c r="F33" s="279"/>
      <c r="G33" s="279"/>
      <c r="H33" s="256"/>
    </row>
    <row r="34" spans="1:10" ht="60" x14ac:dyDescent="0.25">
      <c r="A34" s="257" t="s">
        <v>77</v>
      </c>
      <c r="B34" s="270" t="s">
        <v>497</v>
      </c>
      <c r="C34" s="257">
        <v>26600</v>
      </c>
      <c r="D34" s="257" t="s">
        <v>14</v>
      </c>
      <c r="E34" s="278">
        <v>0</v>
      </c>
      <c r="F34" s="278">
        <v>0</v>
      </c>
      <c r="G34" s="278">
        <v>0</v>
      </c>
      <c r="H34" s="258"/>
    </row>
    <row r="35" spans="1:10" x14ac:dyDescent="0.25">
      <c r="A35" s="257"/>
      <c r="B35" s="247" t="s">
        <v>496</v>
      </c>
      <c r="C35" s="257">
        <v>26610</v>
      </c>
      <c r="D35" s="257"/>
      <c r="E35" s="278">
        <v>0</v>
      </c>
      <c r="F35" s="278">
        <v>0</v>
      </c>
      <c r="G35" s="278">
        <v>0</v>
      </c>
      <c r="H35" s="258"/>
    </row>
    <row r="36" spans="1:10" x14ac:dyDescent="0.25">
      <c r="A36" s="269"/>
      <c r="B36" s="256"/>
      <c r="C36" s="256"/>
      <c r="D36" s="256"/>
      <c r="E36" s="256"/>
      <c r="F36" s="256"/>
      <c r="G36" s="256"/>
      <c r="H36" s="256"/>
    </row>
    <row r="37" spans="1:10" s="119" customFormat="1" ht="15" customHeight="1" x14ac:dyDescent="0.25">
      <c r="A37" s="406" t="s">
        <v>514</v>
      </c>
      <c r="B37" s="406"/>
      <c r="C37" s="406"/>
      <c r="D37" s="116"/>
      <c r="E37" s="116"/>
      <c r="F37" s="117" t="s">
        <v>690</v>
      </c>
      <c r="G37" s="118"/>
      <c r="H37" s="118"/>
    </row>
    <row r="38" spans="1:10" s="119" customFormat="1" ht="15" customHeight="1" x14ac:dyDescent="0.2">
      <c r="A38" s="120"/>
      <c r="B38" s="120"/>
      <c r="C38" s="120"/>
      <c r="D38" s="407" t="s">
        <v>281</v>
      </c>
      <c r="E38" s="407"/>
      <c r="F38" s="271" t="s">
        <v>282</v>
      </c>
      <c r="G38" s="271"/>
      <c r="H38" s="271"/>
    </row>
    <row r="39" spans="1:10" s="121" customFormat="1" ht="15" customHeight="1" x14ac:dyDescent="0.25">
      <c r="A39" s="406" t="s">
        <v>262</v>
      </c>
      <c r="B39" s="406"/>
      <c r="C39" s="406"/>
      <c r="D39" s="116"/>
      <c r="E39" s="116"/>
      <c r="F39" s="117" t="s">
        <v>509</v>
      </c>
      <c r="G39" s="117"/>
      <c r="H39" s="117"/>
    </row>
    <row r="40" spans="1:10" s="119" customFormat="1" ht="15" customHeight="1" x14ac:dyDescent="0.2">
      <c r="A40" s="120"/>
      <c r="B40" s="120"/>
      <c r="C40" s="120"/>
      <c r="D40" s="407" t="s">
        <v>281</v>
      </c>
      <c r="E40" s="407"/>
      <c r="F40" s="271" t="s">
        <v>282</v>
      </c>
      <c r="G40" s="271"/>
      <c r="H40" s="271"/>
    </row>
    <row r="41" spans="1:10" s="121" customFormat="1" ht="15" customHeight="1" x14ac:dyDescent="0.25">
      <c r="A41" s="406" t="s">
        <v>374</v>
      </c>
      <c r="B41" s="406"/>
      <c r="C41" s="406"/>
      <c r="D41" s="116"/>
      <c r="E41" s="116"/>
      <c r="F41" s="117" t="s">
        <v>510</v>
      </c>
      <c r="G41" s="117"/>
      <c r="H41" s="117"/>
    </row>
    <row r="42" spans="1:10" s="119" customFormat="1" ht="12.75" x14ac:dyDescent="0.2">
      <c r="A42" s="246"/>
      <c r="B42" s="246"/>
      <c r="C42" s="246"/>
      <c r="D42" s="407" t="s">
        <v>281</v>
      </c>
      <c r="E42" s="407"/>
      <c r="F42" s="271" t="s">
        <v>282</v>
      </c>
      <c r="G42" s="271"/>
      <c r="H42" s="271"/>
    </row>
    <row r="43" spans="1:10" s="119" customFormat="1" ht="12.75" x14ac:dyDescent="0.2">
      <c r="A43" s="246"/>
      <c r="B43" s="246"/>
      <c r="C43" s="246"/>
      <c r="D43" s="246"/>
      <c r="E43" s="246"/>
      <c r="F43" s="246"/>
    </row>
    <row r="44" spans="1:10" s="1" customFormat="1" x14ac:dyDescent="0.25">
      <c r="A44" s="47" t="s">
        <v>283</v>
      </c>
      <c r="B44" s="223" t="s">
        <v>578</v>
      </c>
      <c r="C44" s="280"/>
      <c r="D44" s="280"/>
      <c r="E44" s="280"/>
      <c r="F44" s="280"/>
      <c r="G44" s="45"/>
      <c r="H44" s="45"/>
      <c r="I44" s="45"/>
      <c r="J44" s="45"/>
    </row>
    <row r="45" spans="1:10" s="45" customFormat="1" ht="12.75" x14ac:dyDescent="0.2">
      <c r="A45" s="246"/>
      <c r="B45" s="246"/>
      <c r="C45" s="246"/>
      <c r="D45" s="246"/>
      <c r="E45" s="246"/>
      <c r="F45" s="246"/>
      <c r="G45" s="119"/>
      <c r="H45" s="119"/>
      <c r="I45" s="119"/>
    </row>
    <row r="46" spans="1:10" s="45" customFormat="1" ht="12.75" x14ac:dyDescent="0.2">
      <c r="A46" s="408"/>
      <c r="B46" s="408"/>
      <c r="C46" s="246"/>
      <c r="D46" s="246"/>
      <c r="E46" s="246"/>
      <c r="F46" s="246"/>
      <c r="G46" s="119"/>
      <c r="H46" s="119"/>
      <c r="I46" s="119"/>
    </row>
  </sheetData>
  <mergeCells count="54">
    <mergeCell ref="A41:C41"/>
    <mergeCell ref="D42:E42"/>
    <mergeCell ref="A46:B46"/>
    <mergeCell ref="A37:C37"/>
    <mergeCell ref="D38:E38"/>
    <mergeCell ref="A39:C39"/>
    <mergeCell ref="D40:E40"/>
    <mergeCell ref="H24:H25"/>
    <mergeCell ref="A28:A29"/>
    <mergeCell ref="C28:C29"/>
    <mergeCell ref="D28:D29"/>
    <mergeCell ref="E28:E29"/>
    <mergeCell ref="F28:F29"/>
    <mergeCell ref="G28:G29"/>
    <mergeCell ref="H28:H29"/>
    <mergeCell ref="A24:A25"/>
    <mergeCell ref="C24:C25"/>
    <mergeCell ref="D24:D25"/>
    <mergeCell ref="E24:E25"/>
    <mergeCell ref="F24:F25"/>
    <mergeCell ref="G24:G25"/>
    <mergeCell ref="H15:H16"/>
    <mergeCell ref="A19:A20"/>
    <mergeCell ref="C19:C20"/>
    <mergeCell ref="D19:D20"/>
    <mergeCell ref="E19:E20"/>
    <mergeCell ref="F19:F20"/>
    <mergeCell ref="G19:G20"/>
    <mergeCell ref="H19:H20"/>
    <mergeCell ref="A15:A16"/>
    <mergeCell ref="C15:C16"/>
    <mergeCell ref="D15:D16"/>
    <mergeCell ref="E15:E16"/>
    <mergeCell ref="F15:F16"/>
    <mergeCell ref="G15:G16"/>
    <mergeCell ref="G8:G9"/>
    <mergeCell ref="H8:H9"/>
    <mergeCell ref="A13:A14"/>
    <mergeCell ref="C13:C14"/>
    <mergeCell ref="D13:D14"/>
    <mergeCell ref="E13:E14"/>
    <mergeCell ref="F13:F14"/>
    <mergeCell ref="G13:G14"/>
    <mergeCell ref="H13:H14"/>
    <mergeCell ref="A8:A9"/>
    <mergeCell ref="C8:C9"/>
    <mergeCell ref="D8:D9"/>
    <mergeCell ref="E8:E9"/>
    <mergeCell ref="F8:F9"/>
    <mergeCell ref="A4:A5"/>
    <mergeCell ref="B4:B5"/>
    <mergeCell ref="C4:C5"/>
    <mergeCell ref="D4:D5"/>
    <mergeCell ref="E4:H4"/>
  </mergeCells>
  <hyperlinks>
    <hyperlink ref="B16" r:id="rId1" display="consultantplus://offline/ref=27B9299060B2EBE5EA3756DDAFB3F19A107080DD5F92214C9BE3AED76819C889372256AD84852DB0F78B91B3A7H5LDJ"/>
    <hyperlink ref="B17" r:id="rId2" display="consultantplus://offline/ref=27B9299060B2EBE5EA3756DDAFB3F19A107184D9539E214C9BE3AED76819C889372256AD84852DB0F78B91B3A7H5LDJ"/>
    <hyperlink ref="B18" r:id="rId3" display="consultantplus://offline/ref=27B9299060B2EBE5EA3756DDAFB3F19A107184DA5999214C9BE3AED76819C88925220EA3848235BAA2C4D7E6AB55A617ACF07EC3765FH7LCJ"/>
    <hyperlink ref="B20" r:id="rId4" display="consultantplus://offline/ref=27B9299060B2EBE5EA3756DDAFB3F19A107080DD5F92214C9BE3AED76819C889372256AD84852DB0F78B91B3A7H5LDJ"/>
    <hyperlink ref="B21" r:id="rId5" display="consultantplus://offline/ref=27B9299060B2EBE5EA3756DDAFB3F19A107184D9539E214C9BE3AED76819C889372256AD84852DB0F78B91B3A7H5LDJ"/>
    <hyperlink ref="B25" r:id="rId6" display="consultantplus://offline/ref=27B9299060B2EBE5EA3756DDAFB3F19A107080DD5F92214C9BE3AED76819C889372256AD84852DB0F78B91B3A7H5LDJ"/>
    <hyperlink ref="B26" r:id="rId7" display="consultantplus://offline/ref=27B9299060B2EBE5EA3756DDAFB3F19A107184D9539E214C9BE3AED76819C889372256AD84852DB0F78B91B3A7H5LDJ"/>
    <hyperlink ref="B29" r:id="rId8" display="consultantplus://offline/ref=27B9299060B2EBE5EA3756DDAFB3F19A107080DD5F92214C9BE3AED76819C889372256AD84852DB0F78B91B3A7H5LDJ"/>
    <hyperlink ref="B30" r:id="rId9" display="consultantplus://offline/ref=27B9299060B2EBE5EA3756DDAFB3F19A107184D9539E214C9BE3AED76819C889372256AD84852DB0F78B91B3A7H5LDJ"/>
    <hyperlink ref="B31" r:id="rId10" display="consultantplus://offline/ref=27B9299060B2EBE5EA3756DDAFB3F19A107080DD5F92214C9BE3AED76819C889372256AD84852DB0F78B91B3A7H5LDJ"/>
    <hyperlink ref="B34" r:id="rId11" display="consultantplus://offline/ref=27B9299060B2EBE5EA3756DDAFB3F19A107184D9539E214C9BE3AED76819C889372256AD84852DB0F78B91B3A7H5LDJ"/>
  </hyperlinks>
  <pageMargins left="0.7" right="0.16" top="0.28999999999999998" bottom="0.27" header="0.3" footer="0.3"/>
  <pageSetup paperSize="9" scale="78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254"/>
  <sheetViews>
    <sheetView view="pageBreakPreview" topLeftCell="A184" zoomScaleNormal="100" zoomScaleSheetLayoutView="100" workbookViewId="0">
      <selection activeCell="N196" sqref="N196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3" width="9.140625" style="1"/>
    <col min="4" max="4" width="17.140625" style="1" customWidth="1"/>
    <col min="5" max="5" width="13.140625" style="1" customWidth="1"/>
    <col min="6" max="6" width="10.7109375" style="1" customWidth="1"/>
    <col min="7" max="7" width="12.28515625" style="1" customWidth="1"/>
    <col min="8" max="8" width="10.7109375" style="1" customWidth="1"/>
    <col min="9" max="9" width="11.5703125" style="1" customWidth="1"/>
    <col min="10" max="10" width="17.5703125" style="1" customWidth="1"/>
    <col min="11" max="11" width="16.42578125" style="1" customWidth="1"/>
    <col min="12" max="12" width="18.140625" style="1" customWidth="1"/>
    <col min="13" max="13" width="9.7109375" style="1" customWidth="1"/>
    <col min="14" max="14" width="14" style="1" customWidth="1"/>
    <col min="15" max="16384" width="9.140625" style="1"/>
  </cols>
  <sheetData>
    <row r="1" spans="1:11" ht="26.25" customHeight="1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34.5" customHeight="1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31.5" customHeight="1" x14ac:dyDescent="0.25">
      <c r="A3" s="432" t="s">
        <v>371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5.75" x14ac:dyDescent="0.25">
      <c r="A4" s="92"/>
      <c r="B4" s="93"/>
      <c r="C4" s="93"/>
      <c r="D4" s="94" t="s">
        <v>266</v>
      </c>
      <c r="E4" s="95">
        <v>2020</v>
      </c>
      <c r="F4" s="96" t="s">
        <v>279</v>
      </c>
      <c r="G4" s="93"/>
      <c r="H4" s="93"/>
      <c r="I4" s="93"/>
      <c r="J4" s="93"/>
    </row>
    <row r="5" spans="1:11" ht="15.75" x14ac:dyDescent="0.25">
      <c r="A5" s="433" t="s">
        <v>0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1" ht="19.5" customHeight="1" x14ac:dyDescent="0.25">
      <c r="A6" s="92" t="s">
        <v>80</v>
      </c>
      <c r="B6" s="93"/>
      <c r="C6" s="97">
        <v>111</v>
      </c>
      <c r="D6" s="97">
        <v>112</v>
      </c>
      <c r="E6" s="97">
        <v>119</v>
      </c>
      <c r="F6" s="98"/>
      <c r="G6" s="98"/>
      <c r="H6" s="98"/>
      <c r="I6" s="98"/>
      <c r="J6" s="98"/>
    </row>
    <row r="7" spans="1:11" ht="22.5" customHeight="1" x14ac:dyDescent="0.25">
      <c r="A7" s="92" t="s">
        <v>81</v>
      </c>
      <c r="B7" s="93"/>
      <c r="C7" s="93"/>
      <c r="D7" s="93"/>
      <c r="E7" s="99" t="s">
        <v>82</v>
      </c>
      <c r="F7" s="100"/>
      <c r="G7" s="99"/>
      <c r="H7" s="100"/>
      <c r="I7" s="100"/>
      <c r="J7" s="100"/>
    </row>
    <row r="8" spans="1:11" ht="21" customHeight="1" x14ac:dyDescent="0.25">
      <c r="A8" s="434" t="s">
        <v>351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1" x14ac:dyDescent="0.25">
      <c r="A9" s="435" t="s">
        <v>1</v>
      </c>
      <c r="B9" s="410" t="s">
        <v>2</v>
      </c>
      <c r="C9" s="410" t="s">
        <v>3</v>
      </c>
      <c r="D9" s="435" t="s">
        <v>4</v>
      </c>
      <c r="E9" s="435"/>
      <c r="F9" s="435"/>
      <c r="G9" s="435"/>
      <c r="H9" s="435" t="s">
        <v>5</v>
      </c>
      <c r="I9" s="410" t="s">
        <v>6</v>
      </c>
      <c r="J9" s="410" t="s">
        <v>316</v>
      </c>
    </row>
    <row r="10" spans="1:11" ht="33" customHeight="1" x14ac:dyDescent="0.25">
      <c r="A10" s="435"/>
      <c r="B10" s="410"/>
      <c r="C10" s="410"/>
      <c r="D10" s="410" t="s">
        <v>8</v>
      </c>
      <c r="E10" s="410" t="s">
        <v>9</v>
      </c>
      <c r="F10" s="410"/>
      <c r="G10" s="410"/>
      <c r="H10" s="435"/>
      <c r="I10" s="410"/>
      <c r="J10" s="410"/>
    </row>
    <row r="11" spans="1:11" ht="75" x14ac:dyDescent="0.25">
      <c r="A11" s="435"/>
      <c r="B11" s="410"/>
      <c r="C11" s="410"/>
      <c r="D11" s="410"/>
      <c r="E11" s="199" t="s">
        <v>10</v>
      </c>
      <c r="F11" s="199" t="s">
        <v>11</v>
      </c>
      <c r="G11" s="199" t="s">
        <v>12</v>
      </c>
      <c r="H11" s="435"/>
      <c r="I11" s="410"/>
      <c r="J11" s="410"/>
    </row>
    <row r="12" spans="1:11" ht="14.25" customHeight="1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>
        <v>10</v>
      </c>
    </row>
    <row r="13" spans="1:11" s="41" customFormat="1" x14ac:dyDescent="0.2">
      <c r="A13" s="409" t="s">
        <v>352</v>
      </c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1" s="41" customFormat="1" x14ac:dyDescent="0.2">
      <c r="A14" s="438" t="s">
        <v>319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1" ht="20.25" customHeight="1" x14ac:dyDescent="0.25">
      <c r="A15" s="200">
        <v>1</v>
      </c>
      <c r="B15" s="130" t="s">
        <v>261</v>
      </c>
      <c r="C15" s="200">
        <v>1</v>
      </c>
      <c r="D15" s="131">
        <f>E15+F15+G15</f>
        <v>29935.200000000001</v>
      </c>
      <c r="E15" s="131">
        <v>24946</v>
      </c>
      <c r="F15" s="131"/>
      <c r="G15" s="131">
        <v>4989.2</v>
      </c>
      <c r="H15" s="132">
        <v>50</v>
      </c>
      <c r="I15" s="200">
        <v>1.7</v>
      </c>
      <c r="J15" s="133">
        <f>((C15*D15*(H15/100+I15))*12)</f>
        <v>790289.28</v>
      </c>
      <c r="K15" s="150"/>
    </row>
    <row r="16" spans="1:11" ht="20.25" customHeight="1" x14ac:dyDescent="0.25">
      <c r="A16" s="200">
        <v>2</v>
      </c>
      <c r="B16" s="130" t="s">
        <v>514</v>
      </c>
      <c r="C16" s="200">
        <v>3</v>
      </c>
      <c r="D16" s="131">
        <f>E16+F16+G16</f>
        <v>25887.599999999999</v>
      </c>
      <c r="E16" s="131">
        <v>21573</v>
      </c>
      <c r="F16" s="131"/>
      <c r="G16" s="131">
        <v>4314.6000000000004</v>
      </c>
      <c r="H16" s="132">
        <v>50</v>
      </c>
      <c r="I16" s="200">
        <v>1.7</v>
      </c>
      <c r="J16" s="133">
        <f>((C16*D16*(H16/100+I16))*12)</f>
        <v>2050297.9199999997</v>
      </c>
    </row>
    <row r="17" spans="1:11" x14ac:dyDescent="0.25">
      <c r="A17" s="200">
        <v>3</v>
      </c>
      <c r="B17" s="130" t="s">
        <v>262</v>
      </c>
      <c r="C17" s="200">
        <v>1</v>
      </c>
      <c r="D17" s="131">
        <f t="shared" ref="D17:D46" si="0">E17+F17+G17</f>
        <v>25693.200000000001</v>
      </c>
      <c r="E17" s="131">
        <v>21411</v>
      </c>
      <c r="F17" s="131"/>
      <c r="G17" s="131">
        <v>4282.2</v>
      </c>
      <c r="H17" s="132">
        <v>50</v>
      </c>
      <c r="I17" s="200">
        <v>1.7</v>
      </c>
      <c r="J17" s="133">
        <f t="shared" ref="J17" si="1">((C17*D17*(H17/100+I17))*12)</f>
        <v>678300.4800000001</v>
      </c>
    </row>
    <row r="18" spans="1:11" x14ac:dyDescent="0.25">
      <c r="A18" s="134"/>
      <c r="B18" s="135" t="s">
        <v>320</v>
      </c>
      <c r="C18" s="136">
        <f>SUM(C15:C17)</f>
        <v>5</v>
      </c>
      <c r="D18" s="137">
        <f>SUM(D15:D17)</f>
        <v>81516</v>
      </c>
      <c r="E18" s="136" t="s">
        <v>14</v>
      </c>
      <c r="F18" s="136" t="s">
        <v>14</v>
      </c>
      <c r="G18" s="136" t="s">
        <v>14</v>
      </c>
      <c r="H18" s="136" t="s">
        <v>14</v>
      </c>
      <c r="I18" s="136" t="s">
        <v>14</v>
      </c>
      <c r="J18" s="137">
        <f>SUM(J15:J17)</f>
        <v>3518887.6799999997</v>
      </c>
      <c r="K18" s="151"/>
    </row>
    <row r="19" spans="1:11" x14ac:dyDescent="0.25">
      <c r="A19" s="436" t="s">
        <v>321</v>
      </c>
      <c r="B19" s="437"/>
      <c r="C19" s="437"/>
      <c r="D19" s="437"/>
      <c r="E19" s="437"/>
      <c r="F19" s="437"/>
      <c r="G19" s="437"/>
      <c r="H19" s="437"/>
      <c r="I19" s="437"/>
      <c r="J19" s="437"/>
    </row>
    <row r="20" spans="1:11" x14ac:dyDescent="0.25">
      <c r="A20" s="200">
        <v>4</v>
      </c>
      <c r="B20" s="130" t="s">
        <v>515</v>
      </c>
      <c r="C20" s="200">
        <v>6</v>
      </c>
      <c r="D20" s="131">
        <f>E20+F20+G20</f>
        <v>12409.2</v>
      </c>
      <c r="E20" s="149">
        <v>10341</v>
      </c>
      <c r="F20" s="131"/>
      <c r="G20" s="131">
        <f>E20*20%</f>
        <v>2068.2000000000003</v>
      </c>
      <c r="H20" s="132">
        <v>50</v>
      </c>
      <c r="I20" s="200">
        <v>1.7</v>
      </c>
      <c r="J20" s="153">
        <f>(C20*D20*(H20/100+I20))*12</f>
        <v>1965617.2800000003</v>
      </c>
      <c r="K20" s="147"/>
    </row>
    <row r="21" spans="1:11" x14ac:dyDescent="0.25">
      <c r="A21" s="200">
        <v>5</v>
      </c>
      <c r="B21" s="130" t="s">
        <v>516</v>
      </c>
      <c r="C21" s="200">
        <v>1</v>
      </c>
      <c r="D21" s="131">
        <f t="shared" si="0"/>
        <v>14373.6</v>
      </c>
      <c r="E21" s="149">
        <v>11978</v>
      </c>
      <c r="F21" s="131"/>
      <c r="G21" s="131">
        <f t="shared" ref="G21:G31" si="2">E21*20%</f>
        <v>2395.6</v>
      </c>
      <c r="H21" s="132">
        <v>50</v>
      </c>
      <c r="I21" s="200">
        <v>1.7</v>
      </c>
      <c r="J21" s="153">
        <f t="shared" ref="J21:J33" si="3">(C21*D21*(H21/100+I21))*12</f>
        <v>379463.04000000004</v>
      </c>
    </row>
    <row r="22" spans="1:11" x14ac:dyDescent="0.25">
      <c r="A22" s="200">
        <v>6</v>
      </c>
      <c r="B22" s="130" t="s">
        <v>373</v>
      </c>
      <c r="C22" s="200">
        <v>2</v>
      </c>
      <c r="D22" s="131">
        <f t="shared" si="0"/>
        <v>12248.4</v>
      </c>
      <c r="E22" s="149">
        <v>10207</v>
      </c>
      <c r="F22" s="131"/>
      <c r="G22" s="131">
        <f t="shared" si="2"/>
        <v>2041.4</v>
      </c>
      <c r="H22" s="132">
        <v>50</v>
      </c>
      <c r="I22" s="200">
        <v>1.7</v>
      </c>
      <c r="J22" s="153">
        <f t="shared" si="3"/>
        <v>646715.52</v>
      </c>
    </row>
    <row r="23" spans="1:11" x14ac:dyDescent="0.25">
      <c r="A23" s="200">
        <v>7</v>
      </c>
      <c r="B23" s="130" t="s">
        <v>373</v>
      </c>
      <c r="C23" s="200">
        <v>1.5</v>
      </c>
      <c r="D23" s="131">
        <f t="shared" si="0"/>
        <v>11432.4</v>
      </c>
      <c r="E23" s="149">
        <v>9527</v>
      </c>
      <c r="F23" s="131"/>
      <c r="G23" s="131">
        <f t="shared" si="2"/>
        <v>1905.4</v>
      </c>
      <c r="H23" s="132">
        <v>50</v>
      </c>
      <c r="I23" s="200">
        <v>1.7</v>
      </c>
      <c r="J23" s="153">
        <f t="shared" si="3"/>
        <v>452723.04</v>
      </c>
    </row>
    <row r="24" spans="1:11" ht="30" x14ac:dyDescent="0.25">
      <c r="A24" s="200">
        <v>8</v>
      </c>
      <c r="B24" s="130" t="s">
        <v>323</v>
      </c>
      <c r="C24" s="200">
        <v>1</v>
      </c>
      <c r="D24" s="131">
        <f t="shared" si="0"/>
        <v>12248.4</v>
      </c>
      <c r="E24" s="149">
        <v>10207</v>
      </c>
      <c r="F24" s="131"/>
      <c r="G24" s="131">
        <f t="shared" si="2"/>
        <v>2041.4</v>
      </c>
      <c r="H24" s="132">
        <v>50</v>
      </c>
      <c r="I24" s="200">
        <v>1.7</v>
      </c>
      <c r="J24" s="153">
        <f t="shared" si="3"/>
        <v>323357.76</v>
      </c>
    </row>
    <row r="25" spans="1:11" x14ac:dyDescent="0.25">
      <c r="A25" s="200">
        <v>9</v>
      </c>
      <c r="B25" s="130" t="s">
        <v>372</v>
      </c>
      <c r="C25" s="200">
        <v>0.5</v>
      </c>
      <c r="D25" s="131">
        <f t="shared" si="0"/>
        <v>12248.4</v>
      </c>
      <c r="E25" s="149">
        <v>10207</v>
      </c>
      <c r="F25" s="131"/>
      <c r="G25" s="131">
        <f t="shared" si="2"/>
        <v>2041.4</v>
      </c>
      <c r="H25" s="132">
        <v>50</v>
      </c>
      <c r="I25" s="200">
        <v>1.7</v>
      </c>
      <c r="J25" s="153">
        <f t="shared" si="3"/>
        <v>161678.88</v>
      </c>
      <c r="K25" s="89"/>
    </row>
    <row r="26" spans="1:11" hidden="1" x14ac:dyDescent="0.25">
      <c r="A26" s="200">
        <v>14</v>
      </c>
      <c r="B26" s="130" t="s">
        <v>322</v>
      </c>
      <c r="C26" s="200"/>
      <c r="D26" s="131">
        <f t="shared" si="0"/>
        <v>0</v>
      </c>
      <c r="E26" s="149"/>
      <c r="F26" s="131"/>
      <c r="G26" s="131">
        <f t="shared" si="2"/>
        <v>0</v>
      </c>
      <c r="H26" s="132">
        <v>50</v>
      </c>
      <c r="I26" s="200">
        <v>1.7</v>
      </c>
      <c r="J26" s="153">
        <f t="shared" si="3"/>
        <v>0</v>
      </c>
      <c r="K26" s="89"/>
    </row>
    <row r="27" spans="1:11" ht="30" x14ac:dyDescent="0.25">
      <c r="A27" s="200">
        <v>10</v>
      </c>
      <c r="B27" s="130" t="s">
        <v>517</v>
      </c>
      <c r="C27" s="200">
        <v>0.5</v>
      </c>
      <c r="D27" s="131">
        <f t="shared" si="0"/>
        <v>12248.4</v>
      </c>
      <c r="E27" s="149">
        <v>10207</v>
      </c>
      <c r="F27" s="131"/>
      <c r="G27" s="131">
        <f t="shared" si="2"/>
        <v>2041.4</v>
      </c>
      <c r="H27" s="132">
        <v>50</v>
      </c>
      <c r="I27" s="200">
        <v>1.7</v>
      </c>
      <c r="J27" s="153">
        <f t="shared" si="3"/>
        <v>161678.88</v>
      </c>
      <c r="K27" s="150"/>
    </row>
    <row r="28" spans="1:11" x14ac:dyDescent="0.25">
      <c r="A28" s="200">
        <v>11</v>
      </c>
      <c r="B28" s="130" t="s">
        <v>518</v>
      </c>
      <c r="C28" s="200">
        <v>1.5</v>
      </c>
      <c r="D28" s="131">
        <f t="shared" si="0"/>
        <v>12248.4</v>
      </c>
      <c r="E28" s="149">
        <v>10207</v>
      </c>
      <c r="F28" s="131"/>
      <c r="G28" s="131">
        <f t="shared" si="2"/>
        <v>2041.4</v>
      </c>
      <c r="H28" s="132">
        <v>50</v>
      </c>
      <c r="I28" s="200">
        <v>1.7</v>
      </c>
      <c r="J28" s="153">
        <f t="shared" si="3"/>
        <v>485036.64</v>
      </c>
    </row>
    <row r="29" spans="1:11" ht="30" x14ac:dyDescent="0.25">
      <c r="A29" s="200">
        <v>12</v>
      </c>
      <c r="B29" s="130" t="s">
        <v>519</v>
      </c>
      <c r="C29" s="200">
        <v>1</v>
      </c>
      <c r="D29" s="131">
        <f t="shared" si="0"/>
        <v>12248.4</v>
      </c>
      <c r="E29" s="149">
        <v>10207</v>
      </c>
      <c r="F29" s="131"/>
      <c r="G29" s="131">
        <f t="shared" si="2"/>
        <v>2041.4</v>
      </c>
      <c r="H29" s="132">
        <v>50</v>
      </c>
      <c r="I29" s="200">
        <v>1.7</v>
      </c>
      <c r="J29" s="153">
        <f t="shared" si="3"/>
        <v>323357.76</v>
      </c>
    </row>
    <row r="30" spans="1:11" x14ac:dyDescent="0.25">
      <c r="A30" s="200">
        <v>13</v>
      </c>
      <c r="B30" s="130" t="s">
        <v>520</v>
      </c>
      <c r="C30" s="200">
        <v>1</v>
      </c>
      <c r="D30" s="131">
        <f t="shared" si="0"/>
        <v>10615.2</v>
      </c>
      <c r="E30" s="149">
        <v>8846</v>
      </c>
      <c r="F30" s="131"/>
      <c r="G30" s="131">
        <f t="shared" si="2"/>
        <v>1769.2</v>
      </c>
      <c r="H30" s="132">
        <v>50</v>
      </c>
      <c r="I30" s="200">
        <v>1.7</v>
      </c>
      <c r="J30" s="153">
        <f t="shared" si="3"/>
        <v>280241.28000000003</v>
      </c>
    </row>
    <row r="31" spans="1:11" x14ac:dyDescent="0.25">
      <c r="A31" s="200">
        <v>14</v>
      </c>
      <c r="B31" s="130" t="s">
        <v>521</v>
      </c>
      <c r="C31" s="200">
        <v>1</v>
      </c>
      <c r="D31" s="131">
        <f>E31+F31+G31</f>
        <v>12248.4</v>
      </c>
      <c r="E31" s="149">
        <v>10207</v>
      </c>
      <c r="F31" s="131"/>
      <c r="G31" s="131">
        <f t="shared" si="2"/>
        <v>2041.4</v>
      </c>
      <c r="H31" s="132">
        <v>50</v>
      </c>
      <c r="I31" s="200">
        <v>1.7</v>
      </c>
      <c r="J31" s="153">
        <f t="shared" si="3"/>
        <v>323357.76</v>
      </c>
    </row>
    <row r="32" spans="1:11" ht="30" x14ac:dyDescent="0.25">
      <c r="A32" s="275">
        <v>15</v>
      </c>
      <c r="B32" s="130" t="s">
        <v>522</v>
      </c>
      <c r="C32" s="275">
        <v>10</v>
      </c>
      <c r="D32" s="131">
        <f t="shared" ref="D32:D33" si="4">E32+F32+G32</f>
        <v>12248.4</v>
      </c>
      <c r="E32" s="149">
        <v>10207</v>
      </c>
      <c r="F32" s="131"/>
      <c r="G32" s="131">
        <f t="shared" ref="G32:G33" si="5">E32*20%</f>
        <v>2041.4</v>
      </c>
      <c r="H32" s="132">
        <v>50</v>
      </c>
      <c r="I32" s="275">
        <v>1.7</v>
      </c>
      <c r="J32" s="153">
        <f t="shared" si="3"/>
        <v>3233577.6000000006</v>
      </c>
    </row>
    <row r="33" spans="1:11" x14ac:dyDescent="0.25">
      <c r="A33" s="275">
        <v>16</v>
      </c>
      <c r="B33" s="130" t="s">
        <v>523</v>
      </c>
      <c r="C33" s="275">
        <v>2</v>
      </c>
      <c r="D33" s="131">
        <f t="shared" si="4"/>
        <v>12249.6</v>
      </c>
      <c r="E33" s="149">
        <v>10208</v>
      </c>
      <c r="F33" s="131"/>
      <c r="G33" s="131">
        <f t="shared" si="5"/>
        <v>2041.6000000000001</v>
      </c>
      <c r="H33" s="132">
        <v>50</v>
      </c>
      <c r="I33" s="275">
        <v>1.7</v>
      </c>
      <c r="J33" s="153">
        <f t="shared" si="3"/>
        <v>646778.88000000012</v>
      </c>
    </row>
    <row r="34" spans="1:11" x14ac:dyDescent="0.25">
      <c r="A34" s="134"/>
      <c r="B34" s="135" t="s">
        <v>324</v>
      </c>
      <c r="C34" s="136">
        <f>SUM(C20:C33)</f>
        <v>29</v>
      </c>
      <c r="D34" s="138">
        <f>SUM(D20:D31)</f>
        <v>134569.19999999998</v>
      </c>
      <c r="E34" s="136" t="s">
        <v>14</v>
      </c>
      <c r="F34" s="136" t="s">
        <v>14</v>
      </c>
      <c r="G34" s="136" t="s">
        <v>14</v>
      </c>
      <c r="H34" s="136" t="s">
        <v>14</v>
      </c>
      <c r="I34" s="136" t="s">
        <v>14</v>
      </c>
      <c r="J34" s="138">
        <f>SUM(J20:J33)</f>
        <v>9383584.3200000022</v>
      </c>
    </row>
    <row r="35" spans="1:11" x14ac:dyDescent="0.25">
      <c r="A35" s="436" t="s">
        <v>325</v>
      </c>
      <c r="B35" s="437"/>
      <c r="C35" s="437"/>
      <c r="D35" s="437"/>
      <c r="E35" s="437"/>
      <c r="F35" s="437"/>
      <c r="G35" s="437"/>
      <c r="H35" s="437"/>
      <c r="I35" s="437"/>
      <c r="J35" s="437"/>
    </row>
    <row r="36" spans="1:11" x14ac:dyDescent="0.25">
      <c r="A36" s="200">
        <v>17</v>
      </c>
      <c r="B36" s="130" t="s">
        <v>524</v>
      </c>
      <c r="C36" s="200">
        <v>0.5</v>
      </c>
      <c r="D36" s="131">
        <f t="shared" si="0"/>
        <v>10615.2</v>
      </c>
      <c r="E36" s="149">
        <v>8846</v>
      </c>
      <c r="F36" s="131"/>
      <c r="G36" s="131">
        <f>E36*20%</f>
        <v>1769.2</v>
      </c>
      <c r="H36" s="132">
        <v>50</v>
      </c>
      <c r="I36" s="200">
        <v>1.7</v>
      </c>
      <c r="J36" s="133">
        <f t="shared" ref="J36:J37" si="6">(C36*D36*(H36/100+I36))*12</f>
        <v>140120.64000000001</v>
      </c>
      <c r="K36" s="150"/>
    </row>
    <row r="37" spans="1:11" x14ac:dyDescent="0.25">
      <c r="A37" s="200">
        <v>18</v>
      </c>
      <c r="B37" s="130" t="s">
        <v>326</v>
      </c>
      <c r="C37" s="200">
        <v>0.5</v>
      </c>
      <c r="D37" s="131">
        <f t="shared" si="0"/>
        <v>12248.4</v>
      </c>
      <c r="E37" s="149">
        <v>10207</v>
      </c>
      <c r="F37" s="131"/>
      <c r="G37" s="131">
        <f>E37*20%</f>
        <v>2041.4</v>
      </c>
      <c r="H37" s="132">
        <v>50</v>
      </c>
      <c r="I37" s="200">
        <v>1.7</v>
      </c>
      <c r="J37" s="133">
        <f t="shared" si="6"/>
        <v>161678.88</v>
      </c>
    </row>
    <row r="38" spans="1:11" x14ac:dyDescent="0.25">
      <c r="A38" s="134"/>
      <c r="B38" s="135" t="s">
        <v>327</v>
      </c>
      <c r="C38" s="136">
        <f>SUM(C36:C37)</f>
        <v>1</v>
      </c>
      <c r="D38" s="138">
        <f>SUM(D36:D37)</f>
        <v>22863.599999999999</v>
      </c>
      <c r="E38" s="136" t="s">
        <v>14</v>
      </c>
      <c r="F38" s="136" t="s">
        <v>14</v>
      </c>
      <c r="G38" s="136" t="s">
        <v>14</v>
      </c>
      <c r="H38" s="136" t="s">
        <v>14</v>
      </c>
      <c r="I38" s="136" t="s">
        <v>14</v>
      </c>
      <c r="J38" s="139">
        <f>SUM(J36:J37)</f>
        <v>301799.52</v>
      </c>
    </row>
    <row r="39" spans="1:11" x14ac:dyDescent="0.25">
      <c r="A39" s="436" t="s">
        <v>328</v>
      </c>
      <c r="B39" s="439"/>
      <c r="C39" s="439"/>
      <c r="D39" s="439"/>
      <c r="E39" s="439"/>
      <c r="F39" s="439"/>
      <c r="G39" s="439"/>
      <c r="H39" s="439"/>
      <c r="I39" s="439"/>
      <c r="J39" s="439"/>
    </row>
    <row r="40" spans="1:11" x14ac:dyDescent="0.25">
      <c r="A40" s="200">
        <v>19</v>
      </c>
      <c r="B40" s="130" t="s">
        <v>525</v>
      </c>
      <c r="C40" s="200">
        <v>1.5</v>
      </c>
      <c r="D40" s="131">
        <f t="shared" si="0"/>
        <v>11472</v>
      </c>
      <c r="E40" s="149">
        <v>9560</v>
      </c>
      <c r="F40" s="131"/>
      <c r="G40" s="131">
        <f>E40*20%</f>
        <v>1912</v>
      </c>
      <c r="H40" s="132">
        <v>50</v>
      </c>
      <c r="I40" s="200">
        <v>1.7</v>
      </c>
      <c r="J40" s="133">
        <f>((C40*D40*(H40/100+I40))*12)</f>
        <v>454291.20000000007</v>
      </c>
      <c r="K40" s="150"/>
    </row>
    <row r="41" spans="1:11" x14ac:dyDescent="0.25">
      <c r="A41" s="200">
        <v>20</v>
      </c>
      <c r="B41" s="130" t="s">
        <v>526</v>
      </c>
      <c r="C41" s="200">
        <v>5.8</v>
      </c>
      <c r="D41" s="131">
        <f>E41+F41+G41</f>
        <v>11472</v>
      </c>
      <c r="E41" s="149">
        <v>9560</v>
      </c>
      <c r="F41" s="131"/>
      <c r="G41" s="131">
        <f t="shared" ref="G41:G46" si="7">E41*20%</f>
        <v>1912</v>
      </c>
      <c r="H41" s="132">
        <v>50</v>
      </c>
      <c r="I41" s="200">
        <v>1.7</v>
      </c>
      <c r="J41" s="133">
        <f t="shared" ref="J41:J46" si="8">((C41*D41*(H41/100+I41))*12)</f>
        <v>1756592.6400000001</v>
      </c>
      <c r="K41" s="150"/>
    </row>
    <row r="42" spans="1:11" x14ac:dyDescent="0.25">
      <c r="A42" s="200">
        <v>21</v>
      </c>
      <c r="B42" s="130" t="s">
        <v>527</v>
      </c>
      <c r="C42" s="200">
        <v>2</v>
      </c>
      <c r="D42" s="131">
        <f t="shared" si="0"/>
        <v>11640</v>
      </c>
      <c r="E42" s="149">
        <v>9700</v>
      </c>
      <c r="F42" s="131"/>
      <c r="G42" s="131">
        <f t="shared" si="7"/>
        <v>1940</v>
      </c>
      <c r="H42" s="132">
        <v>50</v>
      </c>
      <c r="I42" s="200">
        <v>1.7</v>
      </c>
      <c r="J42" s="133">
        <f t="shared" si="8"/>
        <v>614592.00000000012</v>
      </c>
    </row>
    <row r="43" spans="1:11" x14ac:dyDescent="0.25">
      <c r="A43" s="200">
        <v>22</v>
      </c>
      <c r="B43" s="130" t="s">
        <v>528</v>
      </c>
      <c r="C43" s="200">
        <v>3</v>
      </c>
      <c r="D43" s="131">
        <f t="shared" si="0"/>
        <v>11472</v>
      </c>
      <c r="E43" s="149">
        <v>9560</v>
      </c>
      <c r="F43" s="131"/>
      <c r="G43" s="131">
        <f t="shared" si="7"/>
        <v>1912</v>
      </c>
      <c r="H43" s="132">
        <v>50</v>
      </c>
      <c r="I43" s="200">
        <v>1.7</v>
      </c>
      <c r="J43" s="133">
        <f t="shared" si="8"/>
        <v>908582.40000000014</v>
      </c>
    </row>
    <row r="44" spans="1:11" x14ac:dyDescent="0.25">
      <c r="A44" s="200">
        <v>23</v>
      </c>
      <c r="B44" s="130" t="s">
        <v>329</v>
      </c>
      <c r="C44" s="200">
        <v>1</v>
      </c>
      <c r="D44" s="131">
        <f t="shared" si="0"/>
        <v>11758.8</v>
      </c>
      <c r="E44" s="149">
        <v>9799</v>
      </c>
      <c r="F44" s="131"/>
      <c r="G44" s="131">
        <f t="shared" si="7"/>
        <v>1959.8000000000002</v>
      </c>
      <c r="H44" s="132">
        <v>50</v>
      </c>
      <c r="I44" s="200">
        <v>1.7</v>
      </c>
      <c r="J44" s="133">
        <f t="shared" si="8"/>
        <v>310432.32</v>
      </c>
    </row>
    <row r="45" spans="1:11" x14ac:dyDescent="0.25">
      <c r="A45" s="285">
        <v>24</v>
      </c>
      <c r="B45" s="130" t="s">
        <v>529</v>
      </c>
      <c r="C45" s="285">
        <v>0.5</v>
      </c>
      <c r="D45" s="131">
        <f t="shared" si="0"/>
        <v>11758.8</v>
      </c>
      <c r="E45" s="149">
        <v>9799</v>
      </c>
      <c r="F45" s="131"/>
      <c r="G45" s="131">
        <f t="shared" si="7"/>
        <v>1959.8000000000002</v>
      </c>
      <c r="H45" s="132">
        <v>50</v>
      </c>
      <c r="I45" s="285">
        <v>1.7</v>
      </c>
      <c r="J45" s="133">
        <f t="shared" si="8"/>
        <v>155216.16</v>
      </c>
    </row>
    <row r="46" spans="1:11" x14ac:dyDescent="0.25">
      <c r="A46" s="285">
        <v>25</v>
      </c>
      <c r="B46" s="130" t="s">
        <v>530</v>
      </c>
      <c r="C46" s="285">
        <v>0.5</v>
      </c>
      <c r="D46" s="131">
        <f t="shared" si="0"/>
        <v>11472</v>
      </c>
      <c r="E46" s="149">
        <v>9560</v>
      </c>
      <c r="F46" s="131"/>
      <c r="G46" s="131">
        <f t="shared" si="7"/>
        <v>1912</v>
      </c>
      <c r="H46" s="132">
        <v>50</v>
      </c>
      <c r="I46" s="285">
        <v>1.7</v>
      </c>
      <c r="J46" s="133">
        <f t="shared" si="8"/>
        <v>151430.40000000002</v>
      </c>
    </row>
    <row r="47" spans="1:11" x14ac:dyDescent="0.25">
      <c r="A47" s="134"/>
      <c r="B47" s="135" t="s">
        <v>317</v>
      </c>
      <c r="C47" s="136">
        <f>SUM(C40:C46)</f>
        <v>14.3</v>
      </c>
      <c r="D47" s="138">
        <f>SUM(D40:D46)</f>
        <v>81045.600000000006</v>
      </c>
      <c r="E47" s="136" t="s">
        <v>14</v>
      </c>
      <c r="F47" s="136" t="s">
        <v>14</v>
      </c>
      <c r="G47" s="136" t="s">
        <v>14</v>
      </c>
      <c r="H47" s="136" t="s">
        <v>14</v>
      </c>
      <c r="I47" s="136" t="s">
        <v>14</v>
      </c>
      <c r="J47" s="139">
        <f>SUM(J40:J46)</f>
        <v>4351137.12</v>
      </c>
      <c r="K47" s="151"/>
    </row>
    <row r="48" spans="1:11" ht="30" customHeight="1" x14ac:dyDescent="0.25">
      <c r="A48" s="429" t="s">
        <v>336</v>
      </c>
      <c r="B48" s="430"/>
      <c r="C48" s="430"/>
      <c r="D48" s="430"/>
      <c r="E48" s="430"/>
      <c r="F48" s="430"/>
      <c r="G48" s="430"/>
      <c r="H48" s="430"/>
      <c r="I48" s="431"/>
      <c r="J48" s="202">
        <f>(J18+J34+J38+J47)*10%+485579.3</f>
        <v>2241120.1639999999</v>
      </c>
      <c r="K48" s="151"/>
    </row>
    <row r="49" spans="1:12" s="41" customFormat="1" x14ac:dyDescent="0.2">
      <c r="A49" s="441" t="s">
        <v>531</v>
      </c>
      <c r="B49" s="442"/>
      <c r="C49" s="442"/>
      <c r="D49" s="442"/>
      <c r="E49" s="442"/>
      <c r="F49" s="442"/>
      <c r="G49" s="442"/>
      <c r="H49" s="442"/>
      <c r="I49" s="442"/>
      <c r="J49" s="141">
        <v>2282471.2000000002</v>
      </c>
    </row>
    <row r="50" spans="1:12" s="41" customFormat="1" x14ac:dyDescent="0.2">
      <c r="A50" s="441" t="s">
        <v>318</v>
      </c>
      <c r="B50" s="442"/>
      <c r="C50" s="442"/>
      <c r="D50" s="442"/>
      <c r="E50" s="442"/>
      <c r="F50" s="442"/>
      <c r="G50" s="442"/>
      <c r="H50" s="442"/>
      <c r="I50" s="442"/>
      <c r="J50" s="141">
        <v>262000</v>
      </c>
    </row>
    <row r="51" spans="1:12" s="41" customFormat="1" x14ac:dyDescent="0.2">
      <c r="A51" s="441" t="s">
        <v>532</v>
      </c>
      <c r="B51" s="442"/>
      <c r="C51" s="442"/>
      <c r="D51" s="442"/>
      <c r="E51" s="442"/>
      <c r="F51" s="442"/>
      <c r="G51" s="442"/>
      <c r="H51" s="442"/>
      <c r="I51" s="442"/>
      <c r="J51" s="141">
        <v>49000</v>
      </c>
    </row>
    <row r="52" spans="1:12" x14ac:dyDescent="0.25">
      <c r="A52" s="440" t="s">
        <v>576</v>
      </c>
      <c r="B52" s="440"/>
      <c r="C52" s="90">
        <f>C18+C34+C38+C47</f>
        <v>49.3</v>
      </c>
      <c r="D52" s="91">
        <f>D18+D34+D38+D47</f>
        <v>319994.40000000002</v>
      </c>
      <c r="E52" s="90" t="s">
        <v>14</v>
      </c>
      <c r="F52" s="90" t="s">
        <v>14</v>
      </c>
      <c r="G52" s="90" t="s">
        <v>14</v>
      </c>
      <c r="H52" s="90" t="s">
        <v>14</v>
      </c>
      <c r="I52" s="90" t="s">
        <v>14</v>
      </c>
      <c r="J52" s="203">
        <f>J18+J34+J38+J47+J48+J49+J50</f>
        <v>22341000.004000001</v>
      </c>
      <c r="K52" s="89"/>
      <c r="L52" s="89"/>
    </row>
    <row r="53" spans="1:12" x14ac:dyDescent="0.25">
      <c r="A53" s="440" t="s">
        <v>577</v>
      </c>
      <c r="B53" s="440"/>
      <c r="C53" s="90">
        <f>C19+C35+C39+C48</f>
        <v>0</v>
      </c>
      <c r="D53" s="91">
        <f>D19+D35+D39+D48</f>
        <v>0</v>
      </c>
      <c r="E53" s="90" t="s">
        <v>14</v>
      </c>
      <c r="F53" s="90" t="s">
        <v>14</v>
      </c>
      <c r="G53" s="90" t="s">
        <v>14</v>
      </c>
      <c r="H53" s="90" t="s">
        <v>14</v>
      </c>
      <c r="I53" s="90" t="s">
        <v>14</v>
      </c>
      <c r="J53" s="203">
        <f>J51</f>
        <v>49000</v>
      </c>
      <c r="K53" s="89"/>
      <c r="L53" s="89"/>
    </row>
    <row r="54" spans="1:12" ht="20.25" customHeight="1" x14ac:dyDescent="0.25">
      <c r="A54" s="411" t="s">
        <v>353</v>
      </c>
      <c r="B54" s="412"/>
      <c r="C54" s="412"/>
      <c r="D54" s="412"/>
      <c r="E54" s="412"/>
      <c r="F54" s="412"/>
      <c r="G54" s="412"/>
      <c r="H54" s="412"/>
      <c r="I54" s="412"/>
      <c r="J54" s="413"/>
    </row>
    <row r="55" spans="1:12" ht="30" customHeight="1" x14ac:dyDescent="0.25">
      <c r="A55" s="211" t="s">
        <v>1</v>
      </c>
      <c r="B55" s="427" t="s">
        <v>44</v>
      </c>
      <c r="C55" s="427"/>
      <c r="D55" s="427"/>
      <c r="E55" s="427" t="s">
        <v>45</v>
      </c>
      <c r="F55" s="427"/>
      <c r="G55" s="427" t="s">
        <v>46</v>
      </c>
      <c r="H55" s="427"/>
      <c r="I55" s="427" t="s">
        <v>102</v>
      </c>
      <c r="J55" s="427"/>
    </row>
    <row r="56" spans="1:12" ht="16.5" customHeight="1" x14ac:dyDescent="0.25">
      <c r="A56" s="212">
        <v>1</v>
      </c>
      <c r="B56" s="428">
        <v>2</v>
      </c>
      <c r="C56" s="428"/>
      <c r="D56" s="428"/>
      <c r="E56" s="428">
        <v>3</v>
      </c>
      <c r="F56" s="428"/>
      <c r="G56" s="428">
        <v>4</v>
      </c>
      <c r="H56" s="428"/>
      <c r="I56" s="428">
        <v>5</v>
      </c>
      <c r="J56" s="428"/>
    </row>
    <row r="57" spans="1:12" ht="47.25" customHeight="1" x14ac:dyDescent="0.25">
      <c r="A57" s="213">
        <v>1</v>
      </c>
      <c r="B57" s="414" t="s">
        <v>513</v>
      </c>
      <c r="C57" s="415"/>
      <c r="D57" s="416"/>
      <c r="E57" s="417">
        <v>2500</v>
      </c>
      <c r="F57" s="417"/>
      <c r="G57" s="418">
        <v>16</v>
      </c>
      <c r="H57" s="418"/>
      <c r="I57" s="419">
        <f>E57*G57</f>
        <v>40000</v>
      </c>
      <c r="J57" s="419"/>
    </row>
    <row r="58" spans="1:12" ht="33.75" customHeight="1" x14ac:dyDescent="0.25">
      <c r="A58" s="420" t="s">
        <v>575</v>
      </c>
      <c r="B58" s="420"/>
      <c r="C58" s="142">
        <f>C52</f>
        <v>49.3</v>
      </c>
      <c r="D58" s="143">
        <f>D52</f>
        <v>319994.40000000002</v>
      </c>
      <c r="E58" s="144" t="s">
        <v>14</v>
      </c>
      <c r="F58" s="144" t="s">
        <v>14</v>
      </c>
      <c r="G58" s="144" t="s">
        <v>14</v>
      </c>
      <c r="H58" s="144" t="s">
        <v>14</v>
      </c>
      <c r="I58" s="144" t="s">
        <v>14</v>
      </c>
      <c r="J58" s="145">
        <f>J52+I57</f>
        <v>22381000.004000001</v>
      </c>
    </row>
    <row r="59" spans="1:12" s="41" customFormat="1" ht="40.5" customHeight="1" x14ac:dyDescent="0.25">
      <c r="A59" s="484" t="s">
        <v>354</v>
      </c>
      <c r="B59" s="484"/>
      <c r="C59" s="484"/>
      <c r="D59" s="484"/>
      <c r="E59" s="484"/>
      <c r="F59" s="484"/>
      <c r="G59" s="484"/>
      <c r="H59" s="484"/>
      <c r="I59" s="484"/>
      <c r="J59" s="484"/>
    </row>
    <row r="60" spans="1:12" ht="38.25" x14ac:dyDescent="0.25">
      <c r="A60" s="212" t="s">
        <v>1</v>
      </c>
      <c r="B60" s="428" t="s">
        <v>15</v>
      </c>
      <c r="C60" s="428"/>
      <c r="D60" s="428"/>
      <c r="E60" s="428" t="s">
        <v>16</v>
      </c>
      <c r="F60" s="428"/>
      <c r="G60" s="212" t="s">
        <v>17</v>
      </c>
      <c r="H60" s="212" t="s">
        <v>18</v>
      </c>
      <c r="I60" s="428" t="s">
        <v>104</v>
      </c>
      <c r="J60" s="428"/>
    </row>
    <row r="61" spans="1:12" x14ac:dyDescent="0.25">
      <c r="A61" s="212">
        <v>1</v>
      </c>
      <c r="B61" s="428">
        <v>2</v>
      </c>
      <c r="C61" s="428"/>
      <c r="D61" s="428"/>
      <c r="E61" s="428">
        <v>3</v>
      </c>
      <c r="F61" s="428"/>
      <c r="G61" s="212">
        <v>4</v>
      </c>
      <c r="H61" s="212">
        <v>5</v>
      </c>
      <c r="I61" s="428">
        <v>6</v>
      </c>
      <c r="J61" s="428"/>
    </row>
    <row r="62" spans="1:12" ht="16.5" customHeight="1" x14ac:dyDescent="0.25">
      <c r="A62" s="411" t="s">
        <v>355</v>
      </c>
      <c r="B62" s="412"/>
      <c r="C62" s="412"/>
      <c r="D62" s="412"/>
      <c r="E62" s="412"/>
      <c r="F62" s="412"/>
      <c r="G62" s="412"/>
      <c r="H62" s="412"/>
      <c r="I62" s="412"/>
      <c r="J62" s="413"/>
    </row>
    <row r="63" spans="1:12" ht="48.75" customHeight="1" x14ac:dyDescent="0.25">
      <c r="A63" s="214" t="s">
        <v>70</v>
      </c>
      <c r="B63" s="599" t="s">
        <v>356</v>
      </c>
      <c r="C63" s="600"/>
      <c r="D63" s="601"/>
      <c r="E63" s="570"/>
      <c r="F63" s="571"/>
      <c r="G63" s="214"/>
      <c r="H63" s="214"/>
      <c r="I63" s="572">
        <f>E63*G63*H63</f>
        <v>0</v>
      </c>
      <c r="J63" s="572"/>
    </row>
    <row r="64" spans="1:12" ht="15" customHeight="1" x14ac:dyDescent="0.25">
      <c r="A64" s="411" t="s">
        <v>357</v>
      </c>
      <c r="B64" s="412"/>
      <c r="C64" s="412"/>
      <c r="D64" s="412"/>
      <c r="E64" s="412"/>
      <c r="F64" s="412"/>
      <c r="G64" s="412"/>
      <c r="H64" s="412"/>
      <c r="I64" s="412"/>
      <c r="J64" s="413"/>
    </row>
    <row r="65" spans="1:10" ht="48.75" customHeight="1" x14ac:dyDescent="0.25">
      <c r="A65" s="215" t="s">
        <v>70</v>
      </c>
      <c r="B65" s="467" t="s">
        <v>69</v>
      </c>
      <c r="C65" s="468"/>
      <c r="D65" s="469"/>
      <c r="E65" s="470">
        <f>(22300+15600)/2</f>
        <v>18950</v>
      </c>
      <c r="F65" s="470"/>
      <c r="G65" s="152">
        <v>57</v>
      </c>
      <c r="H65" s="217"/>
      <c r="I65" s="471">
        <f>E65*G65-7750</f>
        <v>1072400</v>
      </c>
      <c r="J65" s="471"/>
    </row>
    <row r="66" spans="1:10" x14ac:dyDescent="0.25">
      <c r="A66" s="411" t="s">
        <v>358</v>
      </c>
      <c r="B66" s="412"/>
      <c r="C66" s="412"/>
      <c r="D66" s="412"/>
      <c r="E66" s="412"/>
      <c r="F66" s="412"/>
      <c r="G66" s="412"/>
      <c r="H66" s="412"/>
      <c r="I66" s="412"/>
      <c r="J66" s="413"/>
    </row>
    <row r="67" spans="1:10" ht="35.25" customHeight="1" x14ac:dyDescent="0.25">
      <c r="A67" s="218" t="s">
        <v>75</v>
      </c>
      <c r="B67" s="594" t="s">
        <v>359</v>
      </c>
      <c r="C67" s="595"/>
      <c r="D67" s="596"/>
      <c r="E67" s="597"/>
      <c r="F67" s="597"/>
      <c r="G67" s="218"/>
      <c r="H67" s="218"/>
      <c r="I67" s="598"/>
      <c r="J67" s="598"/>
    </row>
    <row r="68" spans="1:10" x14ac:dyDescent="0.25">
      <c r="A68" s="214"/>
      <c r="B68" s="535" t="s">
        <v>13</v>
      </c>
      <c r="C68" s="535"/>
      <c r="D68" s="535"/>
      <c r="E68" s="418" t="s">
        <v>14</v>
      </c>
      <c r="F68" s="418"/>
      <c r="G68" s="214" t="s">
        <v>14</v>
      </c>
      <c r="H68" s="214" t="s">
        <v>14</v>
      </c>
      <c r="I68" s="477">
        <f>I63+I65+I67</f>
        <v>1072400</v>
      </c>
      <c r="J68" s="477"/>
    </row>
    <row r="69" spans="1:10" ht="19.5" customHeight="1" x14ac:dyDescent="0.25">
      <c r="A69" s="489" t="s">
        <v>360</v>
      </c>
      <c r="B69" s="489"/>
      <c r="C69" s="489"/>
      <c r="D69" s="489"/>
      <c r="E69" s="489"/>
      <c r="F69" s="489"/>
      <c r="G69" s="489"/>
      <c r="H69" s="489"/>
      <c r="I69" s="489"/>
      <c r="J69" s="489"/>
    </row>
    <row r="70" spans="1:10" ht="51" x14ac:dyDescent="0.25">
      <c r="A70" s="212" t="s">
        <v>1</v>
      </c>
      <c r="B70" s="428" t="s">
        <v>15</v>
      </c>
      <c r="C70" s="428"/>
      <c r="D70" s="428"/>
      <c r="E70" s="479" t="s">
        <v>20</v>
      </c>
      <c r="F70" s="480"/>
      <c r="G70" s="212" t="s">
        <v>21</v>
      </c>
      <c r="H70" s="212" t="s">
        <v>22</v>
      </c>
      <c r="I70" s="428" t="s">
        <v>19</v>
      </c>
      <c r="J70" s="428"/>
    </row>
    <row r="71" spans="1:10" x14ac:dyDescent="0.25">
      <c r="A71" s="212">
        <v>1</v>
      </c>
      <c r="B71" s="428">
        <v>2</v>
      </c>
      <c r="C71" s="428"/>
      <c r="D71" s="428"/>
      <c r="E71" s="479">
        <v>3</v>
      </c>
      <c r="F71" s="480"/>
      <c r="G71" s="212">
        <v>4</v>
      </c>
      <c r="H71" s="212">
        <v>5</v>
      </c>
      <c r="I71" s="428">
        <v>6</v>
      </c>
      <c r="J71" s="428"/>
    </row>
    <row r="72" spans="1:10" ht="47.25" customHeight="1" x14ac:dyDescent="0.25">
      <c r="A72" s="210" t="s">
        <v>70</v>
      </c>
      <c r="B72" s="421" t="s">
        <v>79</v>
      </c>
      <c r="C72" s="422"/>
      <c r="D72" s="423"/>
      <c r="E72" s="424">
        <v>2</v>
      </c>
      <c r="F72" s="425"/>
      <c r="G72" s="220">
        <v>12</v>
      </c>
      <c r="H72" s="220">
        <v>85</v>
      </c>
      <c r="I72" s="426">
        <f>E72*G72*H72-40</f>
        <v>2000</v>
      </c>
      <c r="J72" s="426"/>
    </row>
    <row r="73" spans="1:10" ht="17.25" customHeight="1" x14ac:dyDescent="0.25">
      <c r="A73" s="219"/>
      <c r="B73" s="481" t="s">
        <v>13</v>
      </c>
      <c r="C73" s="481"/>
      <c r="D73" s="481"/>
      <c r="E73" s="482" t="s">
        <v>14</v>
      </c>
      <c r="F73" s="483"/>
      <c r="G73" s="214" t="s">
        <v>14</v>
      </c>
      <c r="H73" s="214" t="s">
        <v>14</v>
      </c>
      <c r="I73" s="477">
        <f>SUM(I72)</f>
        <v>2000</v>
      </c>
      <c r="J73" s="478"/>
    </row>
    <row r="74" spans="1:10" s="41" customFormat="1" ht="54" customHeight="1" x14ac:dyDescent="0.25">
      <c r="A74" s="484" t="s">
        <v>298</v>
      </c>
      <c r="B74" s="484"/>
      <c r="C74" s="484"/>
      <c r="D74" s="484"/>
      <c r="E74" s="484"/>
      <c r="F74" s="484"/>
      <c r="G74" s="484"/>
      <c r="H74" s="484"/>
      <c r="I74" s="484"/>
      <c r="J74" s="484"/>
    </row>
    <row r="75" spans="1:10" ht="36" customHeight="1" x14ac:dyDescent="0.25">
      <c r="A75" s="198" t="s">
        <v>1</v>
      </c>
      <c r="B75" s="485" t="s">
        <v>23</v>
      </c>
      <c r="C75" s="486"/>
      <c r="D75" s="486"/>
      <c r="E75" s="486"/>
      <c r="F75" s="487"/>
      <c r="G75" s="485" t="s">
        <v>24</v>
      </c>
      <c r="H75" s="487"/>
      <c r="I75" s="485" t="s">
        <v>25</v>
      </c>
      <c r="J75" s="487"/>
    </row>
    <row r="76" spans="1:10" ht="11.25" customHeight="1" x14ac:dyDescent="0.25">
      <c r="A76" s="193">
        <v>1</v>
      </c>
      <c r="B76" s="490">
        <v>2</v>
      </c>
      <c r="C76" s="491"/>
      <c r="D76" s="491"/>
      <c r="E76" s="491"/>
      <c r="F76" s="492"/>
      <c r="G76" s="490">
        <v>3</v>
      </c>
      <c r="H76" s="492"/>
      <c r="I76" s="490">
        <v>4</v>
      </c>
      <c r="J76" s="492"/>
    </row>
    <row r="77" spans="1:10" ht="20.25" customHeight="1" x14ac:dyDescent="0.25">
      <c r="A77" s="196" t="s">
        <v>70</v>
      </c>
      <c r="B77" s="472" t="s">
        <v>533</v>
      </c>
      <c r="C77" s="473"/>
      <c r="D77" s="473"/>
      <c r="E77" s="473"/>
      <c r="F77" s="474"/>
      <c r="G77" s="475" t="s">
        <v>14</v>
      </c>
      <c r="H77" s="476"/>
      <c r="I77" s="443">
        <f>I80</f>
        <v>4904038</v>
      </c>
      <c r="J77" s="444"/>
    </row>
    <row r="78" spans="1:10" ht="20.25" customHeight="1" x14ac:dyDescent="0.25">
      <c r="A78" s="284" t="s">
        <v>70</v>
      </c>
      <c r="B78" s="472" t="s">
        <v>534</v>
      </c>
      <c r="C78" s="473"/>
      <c r="D78" s="473"/>
      <c r="E78" s="473"/>
      <c r="F78" s="474"/>
      <c r="G78" s="475" t="s">
        <v>14</v>
      </c>
      <c r="H78" s="476"/>
      <c r="I78" s="443">
        <f>I81</f>
        <v>11182</v>
      </c>
      <c r="J78" s="444"/>
    </row>
    <row r="79" spans="1:10" ht="18" customHeight="1" x14ac:dyDescent="0.25">
      <c r="A79" s="102"/>
      <c r="B79" s="496" t="s">
        <v>9</v>
      </c>
      <c r="C79" s="504"/>
      <c r="D79" s="504"/>
      <c r="E79" s="504"/>
      <c r="F79" s="497"/>
      <c r="G79" s="458"/>
      <c r="H79" s="459"/>
      <c r="I79" s="460"/>
      <c r="J79" s="461"/>
    </row>
    <row r="80" spans="1:10" s="41" customFormat="1" ht="20.25" customHeight="1" x14ac:dyDescent="0.25">
      <c r="A80" s="195" t="s">
        <v>27</v>
      </c>
      <c r="B80" s="566" t="s">
        <v>535</v>
      </c>
      <c r="C80" s="567"/>
      <c r="D80" s="567"/>
      <c r="E80" s="567"/>
      <c r="F80" s="568"/>
      <c r="G80" s="465">
        <v>22341000</v>
      </c>
      <c r="H80" s="466"/>
      <c r="I80" s="460">
        <f>G80*22%-10982</f>
        <v>4904038</v>
      </c>
      <c r="J80" s="461"/>
    </row>
    <row r="81" spans="1:10" s="41" customFormat="1" ht="20.25" customHeight="1" x14ac:dyDescent="0.25">
      <c r="A81" s="282" t="s">
        <v>27</v>
      </c>
      <c r="B81" s="566" t="s">
        <v>536</v>
      </c>
      <c r="C81" s="567"/>
      <c r="D81" s="567"/>
      <c r="E81" s="567"/>
      <c r="F81" s="568"/>
      <c r="G81" s="465">
        <v>49000</v>
      </c>
      <c r="H81" s="466"/>
      <c r="I81" s="460">
        <f>G81*22%+500-98</f>
        <v>11182</v>
      </c>
      <c r="J81" s="461"/>
    </row>
    <row r="82" spans="1:10" x14ac:dyDescent="0.25">
      <c r="A82" s="195" t="s">
        <v>29</v>
      </c>
      <c r="B82" s="455" t="s">
        <v>30</v>
      </c>
      <c r="C82" s="456"/>
      <c r="D82" s="456"/>
      <c r="E82" s="456"/>
      <c r="F82" s="457"/>
      <c r="G82" s="458"/>
      <c r="H82" s="459"/>
      <c r="I82" s="460"/>
      <c r="J82" s="461"/>
    </row>
    <row r="83" spans="1:10" ht="15" customHeight="1" x14ac:dyDescent="0.25">
      <c r="A83" s="195" t="s">
        <v>31</v>
      </c>
      <c r="B83" s="462" t="s">
        <v>32</v>
      </c>
      <c r="C83" s="463"/>
      <c r="D83" s="463"/>
      <c r="E83" s="463"/>
      <c r="F83" s="464"/>
      <c r="G83" s="458"/>
      <c r="H83" s="459"/>
      <c r="I83" s="460"/>
      <c r="J83" s="461"/>
    </row>
    <row r="84" spans="1:10" ht="29.25" customHeight="1" x14ac:dyDescent="0.25">
      <c r="A84" s="196" t="s">
        <v>75</v>
      </c>
      <c r="B84" s="472" t="s">
        <v>537</v>
      </c>
      <c r="C84" s="473"/>
      <c r="D84" s="473"/>
      <c r="E84" s="473"/>
      <c r="F84" s="474"/>
      <c r="G84" s="475" t="s">
        <v>14</v>
      </c>
      <c r="H84" s="476"/>
      <c r="I84" s="443">
        <f>I87+I90</f>
        <v>692571</v>
      </c>
      <c r="J84" s="444"/>
    </row>
    <row r="85" spans="1:10" ht="30" customHeight="1" x14ac:dyDescent="0.25">
      <c r="A85" s="284" t="s">
        <v>75</v>
      </c>
      <c r="B85" s="472" t="s">
        <v>538</v>
      </c>
      <c r="C85" s="473"/>
      <c r="D85" s="473"/>
      <c r="E85" s="473"/>
      <c r="F85" s="474"/>
      <c r="G85" s="475" t="s">
        <v>14</v>
      </c>
      <c r="H85" s="476"/>
      <c r="I85" s="443">
        <f>I88+I91</f>
        <v>1519</v>
      </c>
      <c r="J85" s="444"/>
    </row>
    <row r="86" spans="1:10" ht="15" customHeight="1" x14ac:dyDescent="0.25">
      <c r="A86" s="102"/>
      <c r="B86" s="496" t="s">
        <v>9</v>
      </c>
      <c r="C86" s="504"/>
      <c r="D86" s="504"/>
      <c r="E86" s="504"/>
      <c r="F86" s="497"/>
      <c r="G86" s="458"/>
      <c r="H86" s="459"/>
      <c r="I86" s="460"/>
      <c r="J86" s="461"/>
    </row>
    <row r="87" spans="1:10" ht="32.25" customHeight="1" x14ac:dyDescent="0.25">
      <c r="A87" s="195" t="s">
        <v>34</v>
      </c>
      <c r="B87" s="462" t="s">
        <v>539</v>
      </c>
      <c r="C87" s="463"/>
      <c r="D87" s="463"/>
      <c r="E87" s="463"/>
      <c r="F87" s="464"/>
      <c r="G87" s="465">
        <f>G80</f>
        <v>22341000</v>
      </c>
      <c r="H87" s="466"/>
      <c r="I87" s="460">
        <f>G87*2.9%</f>
        <v>647889</v>
      </c>
      <c r="J87" s="461"/>
    </row>
    <row r="88" spans="1:10" ht="32.25" customHeight="1" x14ac:dyDescent="0.25">
      <c r="A88" s="282" t="s">
        <v>34</v>
      </c>
      <c r="B88" s="462" t="s">
        <v>540</v>
      </c>
      <c r="C88" s="463"/>
      <c r="D88" s="463"/>
      <c r="E88" s="463"/>
      <c r="F88" s="464"/>
      <c r="G88" s="465">
        <f>G81</f>
        <v>49000</v>
      </c>
      <c r="H88" s="466"/>
      <c r="I88" s="460">
        <f>G88*2.9%</f>
        <v>1421</v>
      </c>
      <c r="J88" s="461"/>
    </row>
    <row r="89" spans="1:10" ht="30.75" customHeight="1" x14ac:dyDescent="0.25">
      <c r="A89" s="195" t="s">
        <v>36</v>
      </c>
      <c r="B89" s="462" t="s">
        <v>37</v>
      </c>
      <c r="C89" s="463"/>
      <c r="D89" s="463"/>
      <c r="E89" s="463"/>
      <c r="F89" s="464"/>
      <c r="G89" s="458"/>
      <c r="H89" s="459"/>
      <c r="I89" s="460"/>
      <c r="J89" s="461"/>
    </row>
    <row r="90" spans="1:10" ht="34.5" customHeight="1" x14ac:dyDescent="0.25">
      <c r="A90" s="195" t="s">
        <v>38</v>
      </c>
      <c r="B90" s="462" t="s">
        <v>541</v>
      </c>
      <c r="C90" s="463"/>
      <c r="D90" s="463"/>
      <c r="E90" s="463"/>
      <c r="F90" s="464"/>
      <c r="G90" s="465">
        <f>G80</f>
        <v>22341000</v>
      </c>
      <c r="H90" s="466"/>
      <c r="I90" s="460">
        <f>G90*0.2%</f>
        <v>44682</v>
      </c>
      <c r="J90" s="461"/>
    </row>
    <row r="91" spans="1:10" ht="34.5" customHeight="1" x14ac:dyDescent="0.25">
      <c r="A91" s="282" t="s">
        <v>38</v>
      </c>
      <c r="B91" s="462" t="s">
        <v>542</v>
      </c>
      <c r="C91" s="463"/>
      <c r="D91" s="463"/>
      <c r="E91" s="463"/>
      <c r="F91" s="464"/>
      <c r="G91" s="465">
        <f>G81</f>
        <v>49000</v>
      </c>
      <c r="H91" s="466"/>
      <c r="I91" s="460">
        <f>G91*0.2%</f>
        <v>98</v>
      </c>
      <c r="J91" s="461"/>
    </row>
    <row r="92" spans="1:10" s="41" customFormat="1" ht="29.25" customHeight="1" x14ac:dyDescent="0.25">
      <c r="A92" s="195" t="s">
        <v>40</v>
      </c>
      <c r="B92" s="462" t="s">
        <v>41</v>
      </c>
      <c r="C92" s="463"/>
      <c r="D92" s="463"/>
      <c r="E92" s="463"/>
      <c r="F92" s="464"/>
      <c r="G92" s="458"/>
      <c r="H92" s="459"/>
      <c r="I92" s="460"/>
      <c r="J92" s="461"/>
    </row>
    <row r="93" spans="1:10" ht="30.75" customHeight="1" x14ac:dyDescent="0.25">
      <c r="A93" s="195" t="s">
        <v>42</v>
      </c>
      <c r="B93" s="462" t="s">
        <v>41</v>
      </c>
      <c r="C93" s="463"/>
      <c r="D93" s="463"/>
      <c r="E93" s="463"/>
      <c r="F93" s="464"/>
      <c r="G93" s="458"/>
      <c r="H93" s="459"/>
      <c r="I93" s="460"/>
      <c r="J93" s="461"/>
    </row>
    <row r="94" spans="1:10" ht="32.25" customHeight="1" x14ac:dyDescent="0.25">
      <c r="A94" s="196" t="s">
        <v>77</v>
      </c>
      <c r="B94" s="472" t="s">
        <v>543</v>
      </c>
      <c r="C94" s="473"/>
      <c r="D94" s="473"/>
      <c r="E94" s="473"/>
      <c r="F94" s="474"/>
      <c r="G94" s="493">
        <f>G80</f>
        <v>22341000</v>
      </c>
      <c r="H94" s="494"/>
      <c r="I94" s="443">
        <f>G94*5.1%</f>
        <v>1139391</v>
      </c>
      <c r="J94" s="444"/>
    </row>
    <row r="95" spans="1:10" ht="32.25" customHeight="1" x14ac:dyDescent="0.25">
      <c r="A95" s="284" t="s">
        <v>77</v>
      </c>
      <c r="B95" s="472" t="s">
        <v>544</v>
      </c>
      <c r="C95" s="473"/>
      <c r="D95" s="473"/>
      <c r="E95" s="473"/>
      <c r="F95" s="474"/>
      <c r="G95" s="493">
        <f>G81</f>
        <v>49000</v>
      </c>
      <c r="H95" s="494"/>
      <c r="I95" s="443">
        <f>G95*5.1%</f>
        <v>2499</v>
      </c>
      <c r="J95" s="444"/>
    </row>
    <row r="96" spans="1:10" x14ac:dyDescent="0.25">
      <c r="A96" s="195"/>
      <c r="B96" s="448" t="s">
        <v>332</v>
      </c>
      <c r="C96" s="449"/>
      <c r="D96" s="449"/>
      <c r="E96" s="449"/>
      <c r="F96" s="450"/>
      <c r="G96" s="451" t="s">
        <v>14</v>
      </c>
      <c r="H96" s="452"/>
      <c r="I96" s="453">
        <f>I77+I84+I94</f>
        <v>6736000</v>
      </c>
      <c r="J96" s="454"/>
    </row>
    <row r="97" spans="1:12" x14ac:dyDescent="0.25">
      <c r="A97" s="235"/>
      <c r="B97" s="448" t="s">
        <v>379</v>
      </c>
      <c r="C97" s="449"/>
      <c r="D97" s="449"/>
      <c r="E97" s="449"/>
      <c r="F97" s="450"/>
      <c r="G97" s="451" t="s">
        <v>14</v>
      </c>
      <c r="H97" s="452"/>
      <c r="I97" s="453">
        <f>I78+I85+I95</f>
        <v>15200</v>
      </c>
      <c r="J97" s="454"/>
    </row>
    <row r="98" spans="1:12" s="41" customFormat="1" ht="19.5" customHeight="1" x14ac:dyDescent="0.25">
      <c r="A98" s="113"/>
      <c r="B98" s="445" t="s">
        <v>512</v>
      </c>
      <c r="C98" s="445"/>
      <c r="D98" s="445"/>
      <c r="E98" s="445"/>
      <c r="F98" s="445"/>
      <c r="G98" s="446" t="s">
        <v>14</v>
      </c>
      <c r="H98" s="446"/>
      <c r="I98" s="447">
        <f>I96+I97</f>
        <v>6751200</v>
      </c>
      <c r="J98" s="447"/>
      <c r="K98" s="495"/>
      <c r="L98" s="495"/>
    </row>
    <row r="99" spans="1:12" s="41" customFormat="1" ht="38.25" customHeight="1" x14ac:dyDescent="0.2">
      <c r="A99" s="488" t="s">
        <v>502</v>
      </c>
      <c r="B99" s="488"/>
      <c r="C99" s="488"/>
      <c r="D99" s="488"/>
      <c r="E99" s="488"/>
      <c r="F99" s="488"/>
      <c r="G99" s="488"/>
      <c r="H99" s="488"/>
      <c r="I99" s="488"/>
      <c r="J99" s="488"/>
    </row>
    <row r="100" spans="1:12" ht="19.5" customHeight="1" x14ac:dyDescent="0.25">
      <c r="A100" s="489" t="s">
        <v>378</v>
      </c>
      <c r="B100" s="489"/>
      <c r="C100" s="489"/>
      <c r="D100" s="489"/>
      <c r="E100" s="489"/>
      <c r="F100" s="489"/>
      <c r="G100" s="489"/>
      <c r="H100" s="489"/>
      <c r="I100" s="489"/>
      <c r="J100" s="489"/>
      <c r="K100" s="11"/>
      <c r="L100" s="11"/>
    </row>
    <row r="101" spans="1:12" ht="15" customHeight="1" x14ac:dyDescent="0.25">
      <c r="A101" s="92" t="s">
        <v>80</v>
      </c>
      <c r="B101" s="93"/>
      <c r="C101" s="97">
        <v>321</v>
      </c>
      <c r="D101" s="97"/>
      <c r="E101" s="97"/>
      <c r="F101" s="98"/>
      <c r="G101" s="98"/>
      <c r="H101" s="98"/>
      <c r="I101" s="98"/>
      <c r="J101" s="98"/>
      <c r="K101" s="11"/>
      <c r="L101" s="11"/>
    </row>
    <row r="102" spans="1:12" ht="16.5" customHeight="1" x14ac:dyDescent="0.25">
      <c r="A102" s="92" t="s">
        <v>81</v>
      </c>
      <c r="B102" s="93"/>
      <c r="C102" s="93"/>
      <c r="D102" s="93"/>
      <c r="E102" s="99"/>
      <c r="F102" s="100"/>
      <c r="G102" s="100"/>
      <c r="H102" s="100"/>
      <c r="I102" s="100"/>
      <c r="J102" s="100"/>
      <c r="K102" s="11"/>
      <c r="L102" s="11"/>
    </row>
    <row r="103" spans="1:12" ht="36" customHeight="1" x14ac:dyDescent="0.25">
      <c r="A103" s="193" t="s">
        <v>1</v>
      </c>
      <c r="B103" s="490" t="s">
        <v>44</v>
      </c>
      <c r="C103" s="491"/>
      <c r="D103" s="492"/>
      <c r="E103" s="490" t="s">
        <v>45</v>
      </c>
      <c r="F103" s="492"/>
      <c r="G103" s="490" t="s">
        <v>46</v>
      </c>
      <c r="H103" s="492"/>
      <c r="I103" s="490" t="s">
        <v>102</v>
      </c>
      <c r="J103" s="492"/>
      <c r="K103" s="11"/>
      <c r="L103" s="11"/>
    </row>
    <row r="104" spans="1:12" ht="16.5" customHeight="1" x14ac:dyDescent="0.25">
      <c r="A104" s="193">
        <v>1</v>
      </c>
      <c r="B104" s="490">
        <v>2</v>
      </c>
      <c r="C104" s="491"/>
      <c r="D104" s="492"/>
      <c r="E104" s="490">
        <v>3</v>
      </c>
      <c r="F104" s="492"/>
      <c r="G104" s="490">
        <v>4</v>
      </c>
      <c r="H104" s="492"/>
      <c r="I104" s="490">
        <v>5</v>
      </c>
      <c r="J104" s="492"/>
      <c r="K104" s="11"/>
      <c r="L104" s="11"/>
    </row>
    <row r="105" spans="1:12" ht="89.25" hidden="1" customHeight="1" x14ac:dyDescent="0.25">
      <c r="A105" s="216" t="s">
        <v>70</v>
      </c>
      <c r="B105" s="455" t="s">
        <v>363</v>
      </c>
      <c r="C105" s="456"/>
      <c r="D105" s="457"/>
      <c r="E105" s="496"/>
      <c r="F105" s="497"/>
      <c r="G105" s="496"/>
      <c r="H105" s="497"/>
      <c r="I105" s="496"/>
      <c r="J105" s="497"/>
    </row>
    <row r="106" spans="1:12" ht="28.5" hidden="1" customHeight="1" x14ac:dyDescent="0.25">
      <c r="A106" s="209" t="s">
        <v>75</v>
      </c>
      <c r="B106" s="455" t="s">
        <v>362</v>
      </c>
      <c r="C106" s="456"/>
      <c r="D106" s="457"/>
      <c r="E106" s="496"/>
      <c r="F106" s="497"/>
      <c r="G106" s="496"/>
      <c r="H106" s="497"/>
      <c r="I106" s="496"/>
      <c r="J106" s="497"/>
    </row>
    <row r="107" spans="1:12" ht="28.5" customHeight="1" x14ac:dyDescent="0.25">
      <c r="A107" s="232"/>
      <c r="B107" s="421" t="s">
        <v>377</v>
      </c>
      <c r="C107" s="422"/>
      <c r="D107" s="423"/>
      <c r="E107" s="496"/>
      <c r="F107" s="503"/>
      <c r="G107" s="496"/>
      <c r="H107" s="503"/>
      <c r="I107" s="496"/>
      <c r="J107" s="503"/>
    </row>
    <row r="108" spans="1:12" x14ac:dyDescent="0.25">
      <c r="A108" s="194"/>
      <c r="B108" s="448" t="s">
        <v>13</v>
      </c>
      <c r="C108" s="449"/>
      <c r="D108" s="450"/>
      <c r="E108" s="451" t="s">
        <v>14</v>
      </c>
      <c r="F108" s="452"/>
      <c r="G108" s="451" t="s">
        <v>14</v>
      </c>
      <c r="H108" s="452"/>
      <c r="I108" s="451">
        <f>SUM(I107)</f>
        <v>0</v>
      </c>
      <c r="J108" s="452"/>
    </row>
    <row r="109" spans="1:12" s="41" customFormat="1" ht="21" customHeight="1" x14ac:dyDescent="0.25">
      <c r="A109" s="489" t="s">
        <v>364</v>
      </c>
      <c r="B109" s="489"/>
      <c r="C109" s="489"/>
      <c r="D109" s="489"/>
      <c r="E109" s="489"/>
      <c r="F109" s="489"/>
      <c r="G109" s="489"/>
      <c r="H109" s="489"/>
      <c r="I109" s="489"/>
      <c r="J109" s="489"/>
    </row>
    <row r="110" spans="1:12" s="41" customFormat="1" ht="21" customHeight="1" x14ac:dyDescent="0.25">
      <c r="A110" s="92" t="s">
        <v>80</v>
      </c>
      <c r="B110" s="93"/>
      <c r="C110" s="97">
        <v>851</v>
      </c>
      <c r="D110" s="97">
        <v>852</v>
      </c>
      <c r="E110" s="97">
        <v>853</v>
      </c>
      <c r="F110" s="98"/>
      <c r="G110" s="98"/>
      <c r="H110" s="98"/>
      <c r="I110" s="98"/>
      <c r="J110" s="98"/>
      <c r="K110" s="42"/>
      <c r="L110" s="43"/>
    </row>
    <row r="111" spans="1:12" s="41" customFormat="1" ht="15.75" x14ac:dyDescent="0.25">
      <c r="A111" s="92" t="s">
        <v>81</v>
      </c>
      <c r="B111" s="93"/>
      <c r="C111" s="93"/>
      <c r="D111" s="93"/>
      <c r="E111" s="99"/>
      <c r="F111" s="100"/>
      <c r="G111" s="100"/>
      <c r="H111" s="100"/>
      <c r="I111" s="100"/>
      <c r="J111" s="100"/>
    </row>
    <row r="112" spans="1:12" ht="39.75" customHeight="1" x14ac:dyDescent="0.25">
      <c r="A112" s="176" t="s">
        <v>1</v>
      </c>
      <c r="B112" s="402" t="s">
        <v>15</v>
      </c>
      <c r="C112" s="402"/>
      <c r="D112" s="402"/>
      <c r="E112" s="402" t="s">
        <v>47</v>
      </c>
      <c r="F112" s="402"/>
      <c r="G112" s="402" t="s">
        <v>48</v>
      </c>
      <c r="H112" s="402"/>
      <c r="I112" s="402" t="s">
        <v>103</v>
      </c>
      <c r="J112" s="402"/>
    </row>
    <row r="113" spans="1:12" ht="15" customHeight="1" x14ac:dyDescent="0.25">
      <c r="A113" s="176">
        <v>1</v>
      </c>
      <c r="B113" s="402">
        <v>2</v>
      </c>
      <c r="C113" s="402"/>
      <c r="D113" s="402"/>
      <c r="E113" s="402">
        <v>3</v>
      </c>
      <c r="F113" s="402"/>
      <c r="G113" s="402">
        <v>4</v>
      </c>
      <c r="H113" s="402"/>
      <c r="I113" s="402">
        <v>5</v>
      </c>
      <c r="J113" s="402"/>
    </row>
    <row r="114" spans="1:12" ht="20.25" customHeight="1" x14ac:dyDescent="0.25">
      <c r="A114" s="581" t="s">
        <v>70</v>
      </c>
      <c r="B114" s="583" t="s">
        <v>299</v>
      </c>
      <c r="C114" s="584"/>
      <c r="D114" s="189" t="s">
        <v>346</v>
      </c>
      <c r="E114" s="585">
        <v>116105919</v>
      </c>
      <c r="F114" s="585"/>
      <c r="G114" s="505">
        <v>2.1999999999999999E-2</v>
      </c>
      <c r="H114" s="505"/>
      <c r="I114" s="506">
        <f>E114*G114/4</f>
        <v>638582.55449999997</v>
      </c>
      <c r="J114" s="506"/>
    </row>
    <row r="115" spans="1:12" ht="17.25" customHeight="1" x14ac:dyDescent="0.25">
      <c r="A115" s="582"/>
      <c r="B115" s="584"/>
      <c r="C115" s="584"/>
      <c r="D115" s="190" t="s">
        <v>347</v>
      </c>
      <c r="E115" s="585">
        <v>116105919</v>
      </c>
      <c r="F115" s="585"/>
      <c r="G115" s="505">
        <v>2.1999999999999999E-2</v>
      </c>
      <c r="H115" s="505"/>
      <c r="I115" s="506">
        <f>E115*G115/4*3-4330.22</f>
        <v>1911417.4434999998</v>
      </c>
      <c r="J115" s="506"/>
    </row>
    <row r="116" spans="1:12" ht="18" hidden="1" customHeight="1" x14ac:dyDescent="0.25">
      <c r="A116" s="179" t="s">
        <v>75</v>
      </c>
      <c r="B116" s="455" t="s">
        <v>301</v>
      </c>
      <c r="C116" s="456"/>
      <c r="D116" s="457"/>
      <c r="E116" s="515"/>
      <c r="F116" s="515"/>
      <c r="G116" s="515"/>
      <c r="H116" s="515"/>
      <c r="I116" s="506">
        <f t="shared" ref="I116:I117" si="9">E116*G116/100</f>
        <v>0</v>
      </c>
      <c r="J116" s="506"/>
    </row>
    <row r="117" spans="1:12" ht="31.5" hidden="1" customHeight="1" x14ac:dyDescent="0.25">
      <c r="A117" s="179" t="s">
        <v>77</v>
      </c>
      <c r="B117" s="455" t="s">
        <v>302</v>
      </c>
      <c r="C117" s="456"/>
      <c r="D117" s="457"/>
      <c r="E117" s="515"/>
      <c r="F117" s="515"/>
      <c r="G117" s="515"/>
      <c r="H117" s="515"/>
      <c r="I117" s="506">
        <f t="shared" si="9"/>
        <v>0</v>
      </c>
      <c r="J117" s="506"/>
    </row>
    <row r="118" spans="1:12" ht="15.75" customHeight="1" x14ac:dyDescent="0.25">
      <c r="A118" s="175"/>
      <c r="B118" s="507" t="s">
        <v>13</v>
      </c>
      <c r="C118" s="507"/>
      <c r="D118" s="507"/>
      <c r="E118" s="508" t="s">
        <v>74</v>
      </c>
      <c r="F118" s="508"/>
      <c r="G118" s="508" t="s">
        <v>14</v>
      </c>
      <c r="H118" s="508"/>
      <c r="I118" s="509">
        <f>I114+I115+I116+I117</f>
        <v>2549999.9979999997</v>
      </c>
      <c r="J118" s="508"/>
    </row>
    <row r="119" spans="1:12" ht="27" customHeight="1" x14ac:dyDescent="0.25">
      <c r="A119" s="489" t="s">
        <v>85</v>
      </c>
      <c r="B119" s="489"/>
      <c r="C119" s="489"/>
      <c r="D119" s="489"/>
      <c r="E119" s="489"/>
      <c r="F119" s="489"/>
      <c r="G119" s="489"/>
      <c r="H119" s="489"/>
      <c r="I119" s="489"/>
      <c r="J119" s="489"/>
      <c r="K119" s="495"/>
      <c r="L119" s="495"/>
    </row>
    <row r="120" spans="1:12" s="41" customFormat="1" ht="15.75" customHeight="1" x14ac:dyDescent="0.25">
      <c r="A120" s="92" t="s">
        <v>80</v>
      </c>
      <c r="B120" s="93"/>
      <c r="C120" s="97"/>
      <c r="D120" s="97"/>
      <c r="E120" s="97"/>
      <c r="F120" s="98"/>
      <c r="G120" s="98"/>
      <c r="H120" s="98"/>
      <c r="I120" s="98"/>
      <c r="J120" s="98"/>
      <c r="K120" s="42"/>
      <c r="L120" s="43"/>
    </row>
    <row r="121" spans="1:12" s="41" customFormat="1" ht="15.75" x14ac:dyDescent="0.25">
      <c r="A121" s="92" t="s">
        <v>81</v>
      </c>
      <c r="B121" s="93"/>
      <c r="C121" s="93"/>
      <c r="D121" s="93"/>
      <c r="E121" s="99"/>
      <c r="F121" s="100"/>
      <c r="G121" s="100"/>
      <c r="H121" s="100"/>
      <c r="I121" s="100"/>
      <c r="J121" s="100"/>
    </row>
    <row r="122" spans="1:12" ht="24.75" customHeight="1" x14ac:dyDescent="0.25">
      <c r="A122" s="176" t="s">
        <v>1</v>
      </c>
      <c r="B122" s="402" t="s">
        <v>44</v>
      </c>
      <c r="C122" s="402"/>
      <c r="D122" s="402"/>
      <c r="E122" s="402" t="s">
        <v>45</v>
      </c>
      <c r="F122" s="402"/>
      <c r="G122" s="402" t="s">
        <v>46</v>
      </c>
      <c r="H122" s="402"/>
      <c r="I122" s="402" t="s">
        <v>102</v>
      </c>
      <c r="J122" s="402"/>
      <c r="K122" s="11"/>
      <c r="L122" s="11"/>
    </row>
    <row r="123" spans="1:12" ht="14.25" customHeight="1" x14ac:dyDescent="0.25">
      <c r="A123" s="176">
        <v>1</v>
      </c>
      <c r="B123" s="402">
        <v>2</v>
      </c>
      <c r="C123" s="402"/>
      <c r="D123" s="402"/>
      <c r="E123" s="402">
        <v>3</v>
      </c>
      <c r="F123" s="402"/>
      <c r="G123" s="402">
        <v>4</v>
      </c>
      <c r="H123" s="402"/>
      <c r="I123" s="402">
        <v>5</v>
      </c>
      <c r="J123" s="402"/>
      <c r="K123" s="184"/>
      <c r="L123" s="185"/>
    </row>
    <row r="124" spans="1:12" ht="15" hidden="1" customHeight="1" x14ac:dyDescent="0.25">
      <c r="A124" s="179"/>
      <c r="B124" s="496"/>
      <c r="C124" s="504"/>
      <c r="D124" s="497"/>
      <c r="E124" s="496"/>
      <c r="F124" s="497"/>
      <c r="G124" s="496"/>
      <c r="H124" s="497"/>
      <c r="I124" s="496"/>
      <c r="J124" s="497"/>
      <c r="K124" s="11"/>
      <c r="L124" s="11"/>
    </row>
    <row r="125" spans="1:12" ht="17.25" customHeight="1" x14ac:dyDescent="0.25">
      <c r="A125" s="175"/>
      <c r="B125" s="507" t="s">
        <v>13</v>
      </c>
      <c r="C125" s="507"/>
      <c r="D125" s="507"/>
      <c r="E125" s="508" t="s">
        <v>14</v>
      </c>
      <c r="F125" s="508"/>
      <c r="G125" s="508" t="s">
        <v>14</v>
      </c>
      <c r="H125" s="508"/>
      <c r="I125" s="508"/>
      <c r="J125" s="508"/>
      <c r="K125" s="11"/>
      <c r="L125" s="11"/>
    </row>
    <row r="126" spans="1:12" ht="16.5" customHeight="1" x14ac:dyDescent="0.25">
      <c r="A126" s="433" t="s">
        <v>91</v>
      </c>
      <c r="B126" s="433"/>
      <c r="C126" s="433"/>
      <c r="D126" s="433"/>
      <c r="E126" s="433"/>
      <c r="F126" s="433"/>
      <c r="G126" s="433"/>
      <c r="H126" s="433"/>
      <c r="I126" s="433"/>
      <c r="J126" s="433"/>
      <c r="K126" s="11"/>
      <c r="L126" s="11"/>
    </row>
    <row r="127" spans="1:12" ht="18" customHeight="1" x14ac:dyDescent="0.25">
      <c r="A127" s="92" t="s">
        <v>80</v>
      </c>
      <c r="B127" s="93"/>
      <c r="C127" s="97"/>
      <c r="D127" s="97"/>
      <c r="E127" s="97"/>
      <c r="F127" s="98"/>
      <c r="G127" s="98"/>
      <c r="H127" s="98"/>
      <c r="I127" s="98"/>
      <c r="J127" s="98"/>
      <c r="K127" s="11"/>
      <c r="L127" s="11"/>
    </row>
    <row r="128" spans="1:12" ht="18" customHeight="1" x14ac:dyDescent="0.25">
      <c r="A128" s="92" t="s">
        <v>81</v>
      </c>
      <c r="B128" s="93"/>
      <c r="C128" s="93"/>
      <c r="D128" s="93"/>
      <c r="E128" s="99"/>
      <c r="F128" s="100"/>
      <c r="G128" s="99"/>
      <c r="H128" s="100"/>
      <c r="I128" s="100"/>
      <c r="J128" s="100"/>
      <c r="K128" s="11"/>
      <c r="L128" s="11"/>
    </row>
    <row r="129" spans="1:14" ht="30" customHeight="1" x14ac:dyDescent="0.25">
      <c r="A129" s="176" t="s">
        <v>1</v>
      </c>
      <c r="B129" s="402" t="s">
        <v>44</v>
      </c>
      <c r="C129" s="402"/>
      <c r="D129" s="402"/>
      <c r="E129" s="402" t="s">
        <v>45</v>
      </c>
      <c r="F129" s="402"/>
      <c r="G129" s="402" t="s">
        <v>46</v>
      </c>
      <c r="H129" s="402"/>
      <c r="I129" s="402" t="s">
        <v>102</v>
      </c>
      <c r="J129" s="402"/>
      <c r="K129" s="186"/>
      <c r="L129" s="11"/>
    </row>
    <row r="130" spans="1:14" ht="17.25" customHeight="1" x14ac:dyDescent="0.25">
      <c r="A130" s="176">
        <v>1</v>
      </c>
      <c r="B130" s="402">
        <v>2</v>
      </c>
      <c r="C130" s="402"/>
      <c r="D130" s="402"/>
      <c r="E130" s="402">
        <v>3</v>
      </c>
      <c r="F130" s="402"/>
      <c r="G130" s="402">
        <v>4</v>
      </c>
      <c r="H130" s="402"/>
      <c r="I130" s="402">
        <v>5</v>
      </c>
      <c r="J130" s="402"/>
      <c r="K130" s="11"/>
      <c r="L130" s="11"/>
    </row>
    <row r="131" spans="1:14" ht="21.75" hidden="1" customHeight="1" x14ac:dyDescent="0.25">
      <c r="A131" s="179"/>
      <c r="B131" s="496"/>
      <c r="C131" s="504"/>
      <c r="D131" s="497"/>
      <c r="E131" s="496"/>
      <c r="F131" s="497"/>
      <c r="G131" s="496"/>
      <c r="H131" s="497"/>
      <c r="I131" s="496"/>
      <c r="J131" s="497"/>
      <c r="K131" s="11"/>
      <c r="L131" s="187"/>
    </row>
    <row r="132" spans="1:14" ht="15" customHeight="1" x14ac:dyDescent="0.25">
      <c r="A132" s="179"/>
      <c r="B132" s="507" t="s">
        <v>13</v>
      </c>
      <c r="C132" s="507"/>
      <c r="D132" s="507"/>
      <c r="E132" s="508" t="s">
        <v>14</v>
      </c>
      <c r="F132" s="508"/>
      <c r="G132" s="508" t="s">
        <v>14</v>
      </c>
      <c r="H132" s="508"/>
      <c r="I132" s="508"/>
      <c r="J132" s="508"/>
      <c r="K132" s="11"/>
      <c r="L132" s="11"/>
      <c r="M132" s="14"/>
    </row>
    <row r="133" spans="1:14" ht="29.25" customHeight="1" x14ac:dyDescent="0.25">
      <c r="A133" s="433" t="s">
        <v>49</v>
      </c>
      <c r="B133" s="433"/>
      <c r="C133" s="433"/>
      <c r="D133" s="433"/>
      <c r="E133" s="433"/>
      <c r="F133" s="433"/>
      <c r="G133" s="433"/>
      <c r="H133" s="433"/>
      <c r="I133" s="433"/>
      <c r="J133" s="433"/>
      <c r="K133" s="11"/>
      <c r="L133" s="11"/>
      <c r="M133" s="14"/>
    </row>
    <row r="134" spans="1:14" ht="19.5" customHeight="1" x14ac:dyDescent="0.25">
      <c r="A134" s="92" t="s">
        <v>80</v>
      </c>
      <c r="B134" s="93"/>
      <c r="C134" s="97">
        <v>244</v>
      </c>
      <c r="D134" s="97"/>
      <c r="E134" s="97"/>
      <c r="F134" s="98"/>
      <c r="G134" s="98"/>
      <c r="H134" s="98"/>
      <c r="I134" s="98"/>
      <c r="J134" s="98"/>
      <c r="K134" s="11"/>
      <c r="L134" s="11"/>
      <c r="M134" s="14"/>
    </row>
    <row r="135" spans="1:14" ht="17.25" customHeight="1" x14ac:dyDescent="0.25">
      <c r="A135" s="92" t="s">
        <v>81</v>
      </c>
      <c r="B135" s="93"/>
      <c r="C135" s="93"/>
      <c r="D135" s="93"/>
      <c r="E135" s="99" t="s">
        <v>82</v>
      </c>
      <c r="F135" s="100"/>
      <c r="G135" s="99"/>
      <c r="H135" s="100"/>
      <c r="I135" s="100"/>
      <c r="J135" s="100"/>
      <c r="K135" s="11"/>
      <c r="L135" s="11"/>
      <c r="M135" s="14"/>
    </row>
    <row r="136" spans="1:14" ht="17.25" customHeight="1" x14ac:dyDescent="0.25">
      <c r="A136" s="433" t="s">
        <v>304</v>
      </c>
      <c r="B136" s="433"/>
      <c r="C136" s="433"/>
      <c r="D136" s="433"/>
      <c r="E136" s="433"/>
      <c r="F136" s="433"/>
      <c r="G136" s="433"/>
      <c r="H136" s="433"/>
      <c r="I136" s="433"/>
      <c r="J136" s="433"/>
      <c r="K136" s="11"/>
      <c r="L136" s="11"/>
      <c r="M136" s="14"/>
    </row>
    <row r="137" spans="1:14" ht="39.75" customHeight="1" x14ac:dyDescent="0.25">
      <c r="A137" s="176" t="s">
        <v>1</v>
      </c>
      <c r="B137" s="402" t="s">
        <v>15</v>
      </c>
      <c r="C137" s="402"/>
      <c r="D137" s="402"/>
      <c r="E137" s="176" t="s">
        <v>50</v>
      </c>
      <c r="F137" s="176" t="s">
        <v>51</v>
      </c>
      <c r="G137" s="402" t="s">
        <v>52</v>
      </c>
      <c r="H137" s="402"/>
      <c r="I137" s="402" t="s">
        <v>104</v>
      </c>
      <c r="J137" s="402"/>
      <c r="K137" s="11"/>
      <c r="L137" s="11"/>
      <c r="M137" s="14"/>
    </row>
    <row r="138" spans="1:14" ht="15" customHeight="1" x14ac:dyDescent="0.25">
      <c r="A138" s="176">
        <v>1</v>
      </c>
      <c r="B138" s="402">
        <v>2</v>
      </c>
      <c r="C138" s="402"/>
      <c r="D138" s="402"/>
      <c r="E138" s="176">
        <v>3</v>
      </c>
      <c r="F138" s="176">
        <v>4</v>
      </c>
      <c r="G138" s="402">
        <v>5</v>
      </c>
      <c r="H138" s="402"/>
      <c r="I138" s="402">
        <v>6</v>
      </c>
      <c r="J138" s="402"/>
      <c r="K138" s="11"/>
      <c r="L138" s="11"/>
      <c r="M138" s="14"/>
    </row>
    <row r="139" spans="1:14" ht="14.25" customHeight="1" x14ac:dyDescent="0.25">
      <c r="A139" s="196">
        <v>1</v>
      </c>
      <c r="B139" s="498" t="s">
        <v>545</v>
      </c>
      <c r="C139" s="499"/>
      <c r="D139" s="500"/>
      <c r="E139" s="205" t="s">
        <v>74</v>
      </c>
      <c r="F139" s="205" t="s">
        <v>74</v>
      </c>
      <c r="G139" s="501" t="s">
        <v>74</v>
      </c>
      <c r="H139" s="501"/>
      <c r="I139" s="502">
        <f>I140+I141+I142+I143</f>
        <v>135000</v>
      </c>
      <c r="J139" s="502"/>
      <c r="K139" s="11"/>
      <c r="L139" s="11"/>
      <c r="M139" s="14"/>
    </row>
    <row r="140" spans="1:14" ht="27.75" customHeight="1" x14ac:dyDescent="0.25">
      <c r="A140" s="179" t="s">
        <v>348</v>
      </c>
      <c r="B140" s="510" t="s">
        <v>546</v>
      </c>
      <c r="C140" s="510"/>
      <c r="D140" s="510"/>
      <c r="E140" s="179">
        <v>11</v>
      </c>
      <c r="F140" s="179">
        <v>12</v>
      </c>
      <c r="G140" s="512">
        <v>8000</v>
      </c>
      <c r="H140" s="512"/>
      <c r="I140" s="506">
        <f>F140*G140</f>
        <v>96000</v>
      </c>
      <c r="J140" s="506"/>
      <c r="K140" s="13"/>
      <c r="L140" s="13"/>
      <c r="M140" s="14"/>
    </row>
    <row r="141" spans="1:14" x14ac:dyDescent="0.25">
      <c r="A141" s="179" t="s">
        <v>349</v>
      </c>
      <c r="B141" s="510" t="s">
        <v>547</v>
      </c>
      <c r="C141" s="510"/>
      <c r="D141" s="510"/>
      <c r="E141" s="179">
        <v>1</v>
      </c>
      <c r="F141" s="179">
        <v>2</v>
      </c>
      <c r="G141" s="513">
        <v>2000</v>
      </c>
      <c r="H141" s="513"/>
      <c r="I141" s="506">
        <f>F141*G141+2200</f>
        <v>6200</v>
      </c>
      <c r="J141" s="506"/>
      <c r="M141" s="14"/>
    </row>
    <row r="142" spans="1:14" ht="29.25" customHeight="1" x14ac:dyDescent="0.25">
      <c r="A142" s="179" t="s">
        <v>350</v>
      </c>
      <c r="B142" s="510" t="s">
        <v>96</v>
      </c>
      <c r="C142" s="510"/>
      <c r="D142" s="510"/>
      <c r="E142" s="179">
        <v>1</v>
      </c>
      <c r="F142" s="179">
        <v>1</v>
      </c>
      <c r="G142" s="511">
        <v>600</v>
      </c>
      <c r="H142" s="511"/>
      <c r="I142" s="506">
        <f t="shared" ref="I142:I143" si="10">F142*G142</f>
        <v>600</v>
      </c>
      <c r="J142" s="506"/>
      <c r="M142" s="14"/>
    </row>
    <row r="143" spans="1:14" x14ac:dyDescent="0.25">
      <c r="A143" s="233" t="s">
        <v>270</v>
      </c>
      <c r="B143" s="510" t="s">
        <v>548</v>
      </c>
      <c r="C143" s="510"/>
      <c r="D143" s="510"/>
      <c r="E143" s="233">
        <v>1</v>
      </c>
      <c r="F143" s="233">
        <v>4.5999999999999996</v>
      </c>
      <c r="G143" s="511">
        <v>7000</v>
      </c>
      <c r="H143" s="511"/>
      <c r="I143" s="506">
        <f t="shared" si="10"/>
        <v>32199.999999999996</v>
      </c>
      <c r="J143" s="506"/>
      <c r="M143" s="14"/>
    </row>
    <row r="144" spans="1:14" ht="16.5" customHeight="1" x14ac:dyDescent="0.25">
      <c r="A144" s="179"/>
      <c r="B144" s="507" t="s">
        <v>512</v>
      </c>
      <c r="C144" s="507"/>
      <c r="D144" s="507"/>
      <c r="E144" s="175" t="s">
        <v>14</v>
      </c>
      <c r="F144" s="175" t="s">
        <v>14</v>
      </c>
      <c r="G144" s="508" t="s">
        <v>14</v>
      </c>
      <c r="H144" s="508"/>
      <c r="I144" s="509">
        <f>I139</f>
        <v>135000</v>
      </c>
      <c r="J144" s="508"/>
      <c r="K144" s="146"/>
      <c r="N144" s="148"/>
    </row>
    <row r="145" spans="1:13" ht="12" customHeight="1" x14ac:dyDescent="0.25">
      <c r="A145" s="101"/>
      <c r="B145" s="93"/>
      <c r="C145" s="93"/>
      <c r="D145" s="93"/>
      <c r="E145" s="93"/>
      <c r="F145" s="93"/>
      <c r="G145" s="93"/>
      <c r="H145" s="93"/>
      <c r="I145" s="93"/>
      <c r="J145" s="93"/>
      <c r="K145" s="14"/>
      <c r="M145" s="85"/>
    </row>
    <row r="146" spans="1:13" ht="18.75" customHeight="1" x14ac:dyDescent="0.25">
      <c r="A146" s="433" t="s">
        <v>288</v>
      </c>
      <c r="B146" s="433"/>
      <c r="C146" s="433"/>
      <c r="D146" s="433"/>
      <c r="E146" s="433"/>
      <c r="F146" s="433"/>
      <c r="G146" s="433"/>
      <c r="H146" s="433"/>
      <c r="I146" s="433"/>
      <c r="J146" s="433"/>
      <c r="K146" s="14"/>
      <c r="M146" s="85"/>
    </row>
    <row r="147" spans="1:13" ht="12.75" customHeight="1" x14ac:dyDescent="0.25">
      <c r="A147" s="176" t="s">
        <v>1</v>
      </c>
      <c r="B147" s="402" t="s">
        <v>15</v>
      </c>
      <c r="C147" s="402"/>
      <c r="D147" s="402"/>
      <c r="E147" s="402" t="s">
        <v>53</v>
      </c>
      <c r="F147" s="402"/>
      <c r="G147" s="402" t="s">
        <v>54</v>
      </c>
      <c r="H147" s="402"/>
      <c r="I147" s="402" t="s">
        <v>264</v>
      </c>
      <c r="J147" s="402"/>
      <c r="K147" s="14"/>
      <c r="M147" s="85"/>
    </row>
    <row r="148" spans="1:13" ht="15" customHeight="1" x14ac:dyDescent="0.25">
      <c r="A148" s="176">
        <v>1</v>
      </c>
      <c r="B148" s="402">
        <v>2</v>
      </c>
      <c r="C148" s="402"/>
      <c r="D148" s="402"/>
      <c r="E148" s="402">
        <v>3</v>
      </c>
      <c r="F148" s="402"/>
      <c r="G148" s="402">
        <v>4</v>
      </c>
      <c r="H148" s="402"/>
      <c r="I148" s="402">
        <v>5</v>
      </c>
      <c r="J148" s="402"/>
      <c r="K148" s="14"/>
      <c r="M148" s="85"/>
    </row>
    <row r="149" spans="1:13" ht="17.25" hidden="1" customHeight="1" x14ac:dyDescent="0.25">
      <c r="A149" s="179">
        <v>1</v>
      </c>
      <c r="B149" s="414" t="s">
        <v>330</v>
      </c>
      <c r="C149" s="415"/>
      <c r="D149" s="416"/>
      <c r="E149" s="515"/>
      <c r="F149" s="515"/>
      <c r="G149" s="516"/>
      <c r="H149" s="516"/>
      <c r="I149" s="516">
        <f>E149*G149</f>
        <v>0</v>
      </c>
      <c r="J149" s="516"/>
      <c r="K149" s="14"/>
      <c r="M149" s="85"/>
    </row>
    <row r="150" spans="1:13" x14ac:dyDescent="0.25">
      <c r="A150" s="179"/>
      <c r="B150" s="507" t="s">
        <v>13</v>
      </c>
      <c r="C150" s="507"/>
      <c r="D150" s="507"/>
      <c r="E150" s="508" t="s">
        <v>74</v>
      </c>
      <c r="F150" s="508"/>
      <c r="G150" s="508" t="s">
        <v>74</v>
      </c>
      <c r="H150" s="508"/>
      <c r="I150" s="514">
        <f>I149</f>
        <v>0</v>
      </c>
      <c r="J150" s="508"/>
    </row>
    <row r="151" spans="1:13" ht="24" customHeight="1" x14ac:dyDescent="0.25">
      <c r="A151" s="433" t="s">
        <v>284</v>
      </c>
      <c r="B151" s="433"/>
      <c r="C151" s="433"/>
      <c r="D151" s="433"/>
      <c r="E151" s="433"/>
      <c r="F151" s="433"/>
      <c r="G151" s="433"/>
      <c r="H151" s="433"/>
      <c r="I151" s="433"/>
      <c r="J151" s="433"/>
    </row>
    <row r="152" spans="1:13" s="41" customFormat="1" ht="25.5" customHeight="1" x14ac:dyDescent="0.2">
      <c r="A152" s="176" t="s">
        <v>1</v>
      </c>
      <c r="B152" s="402" t="s">
        <v>44</v>
      </c>
      <c r="C152" s="402"/>
      <c r="D152" s="402"/>
      <c r="E152" s="176" t="s">
        <v>55</v>
      </c>
      <c r="F152" s="402" t="s">
        <v>56</v>
      </c>
      <c r="G152" s="402"/>
      <c r="H152" s="176" t="s">
        <v>57</v>
      </c>
      <c r="I152" s="402" t="s">
        <v>104</v>
      </c>
      <c r="J152" s="402"/>
    </row>
    <row r="153" spans="1:13" s="41" customFormat="1" ht="12.75" x14ac:dyDescent="0.2">
      <c r="A153" s="176">
        <v>1</v>
      </c>
      <c r="B153" s="402">
        <v>2</v>
      </c>
      <c r="C153" s="402"/>
      <c r="D153" s="402"/>
      <c r="E153" s="176">
        <v>3</v>
      </c>
      <c r="F153" s="402">
        <v>4</v>
      </c>
      <c r="G153" s="402"/>
      <c r="H153" s="176">
        <v>5</v>
      </c>
      <c r="I153" s="402">
        <v>6</v>
      </c>
      <c r="J153" s="402"/>
    </row>
    <row r="154" spans="1:13" ht="15" customHeight="1" x14ac:dyDescent="0.25">
      <c r="A154" s="178" t="s">
        <v>70</v>
      </c>
      <c r="B154" s="498" t="s">
        <v>151</v>
      </c>
      <c r="C154" s="499"/>
      <c r="D154" s="500"/>
      <c r="E154" s="103">
        <f>E155+E156</f>
        <v>275</v>
      </c>
      <c r="F154" s="519"/>
      <c r="G154" s="520"/>
      <c r="H154" s="104">
        <f>F156/F155-100%</f>
        <v>3.5000412984224072E-2</v>
      </c>
      <c r="I154" s="521">
        <f>I155+I156+14</f>
        <v>542000</v>
      </c>
      <c r="J154" s="522"/>
      <c r="K154" s="14"/>
    </row>
    <row r="155" spans="1:13" ht="15" customHeight="1" x14ac:dyDescent="0.25">
      <c r="A155" s="179"/>
      <c r="B155" s="515" t="s">
        <v>100</v>
      </c>
      <c r="C155" s="515"/>
      <c r="D155" s="515"/>
      <c r="E155" s="180">
        <v>150</v>
      </c>
      <c r="F155" s="517">
        <v>1937.12</v>
      </c>
      <c r="G155" s="518"/>
      <c r="H155" s="179"/>
      <c r="I155" s="506">
        <f>E155*F155</f>
        <v>290568</v>
      </c>
      <c r="J155" s="506"/>
      <c r="K155" s="14"/>
    </row>
    <row r="156" spans="1:13" ht="15" customHeight="1" x14ac:dyDescent="0.25">
      <c r="A156" s="179"/>
      <c r="B156" s="515" t="s">
        <v>101</v>
      </c>
      <c r="C156" s="515"/>
      <c r="D156" s="515"/>
      <c r="E156" s="180">
        <v>125</v>
      </c>
      <c r="F156" s="517">
        <v>2004.92</v>
      </c>
      <c r="G156" s="518"/>
      <c r="H156" s="179"/>
      <c r="I156" s="506">
        <f>E156*F156+803</f>
        <v>251418</v>
      </c>
      <c r="J156" s="506"/>
      <c r="K156" s="14"/>
    </row>
    <row r="157" spans="1:13" ht="15" customHeight="1" x14ac:dyDescent="0.25">
      <c r="A157" s="178" t="s">
        <v>75</v>
      </c>
      <c r="B157" s="498" t="s">
        <v>153</v>
      </c>
      <c r="C157" s="499"/>
      <c r="D157" s="500"/>
      <c r="E157" s="103">
        <f>E158+E159</f>
        <v>0</v>
      </c>
      <c r="F157" s="519"/>
      <c r="G157" s="520"/>
      <c r="H157" s="104">
        <f>F159/F158-100%</f>
        <v>3.5040944581984368E-2</v>
      </c>
      <c r="I157" s="521">
        <f>I158+I159</f>
        <v>0</v>
      </c>
      <c r="J157" s="522"/>
      <c r="K157" s="14"/>
    </row>
    <row r="158" spans="1:13" ht="15" customHeight="1" x14ac:dyDescent="0.25">
      <c r="A158" s="179"/>
      <c r="B158" s="515" t="s">
        <v>100</v>
      </c>
      <c r="C158" s="515"/>
      <c r="D158" s="515"/>
      <c r="E158" s="180"/>
      <c r="F158" s="517">
        <v>52.51</v>
      </c>
      <c r="G158" s="518"/>
      <c r="H158" s="179"/>
      <c r="I158" s="506"/>
      <c r="J158" s="506"/>
      <c r="K158" s="14"/>
    </row>
    <row r="159" spans="1:13" ht="15" customHeight="1" x14ac:dyDescent="0.25">
      <c r="A159" s="179"/>
      <c r="B159" s="515" t="s">
        <v>101</v>
      </c>
      <c r="C159" s="515"/>
      <c r="D159" s="515"/>
      <c r="E159" s="180"/>
      <c r="F159" s="517">
        <v>54.35</v>
      </c>
      <c r="G159" s="518"/>
      <c r="H159" s="179"/>
      <c r="I159" s="506"/>
      <c r="J159" s="506"/>
      <c r="K159" s="14"/>
    </row>
    <row r="160" spans="1:13" ht="15" customHeight="1" x14ac:dyDescent="0.25">
      <c r="A160" s="178" t="s">
        <v>77</v>
      </c>
      <c r="B160" s="498" t="s">
        <v>154</v>
      </c>
      <c r="C160" s="499"/>
      <c r="D160" s="500"/>
      <c r="E160" s="103">
        <f>E161+E162</f>
        <v>0</v>
      </c>
      <c r="F160" s="519"/>
      <c r="G160" s="520"/>
      <c r="H160" s="104">
        <f>F162/F161-100%</f>
        <v>3.461841070023608E-2</v>
      </c>
      <c r="I160" s="521">
        <f>I161+I162</f>
        <v>0</v>
      </c>
      <c r="J160" s="522"/>
    </row>
    <row r="161" spans="1:11" ht="15" customHeight="1" x14ac:dyDescent="0.35">
      <c r="A161" s="179"/>
      <c r="B161" s="515" t="s">
        <v>100</v>
      </c>
      <c r="C161" s="515"/>
      <c r="D161" s="515"/>
      <c r="E161" s="180"/>
      <c r="F161" s="517">
        <v>63.55</v>
      </c>
      <c r="G161" s="518"/>
      <c r="H161" s="179"/>
      <c r="I161" s="506"/>
      <c r="J161" s="506"/>
      <c r="K161" s="188"/>
    </row>
    <row r="162" spans="1:11" ht="15" customHeight="1" x14ac:dyDescent="0.25">
      <c r="A162" s="179"/>
      <c r="B162" s="515" t="s">
        <v>101</v>
      </c>
      <c r="C162" s="515"/>
      <c r="D162" s="515"/>
      <c r="E162" s="180"/>
      <c r="F162" s="517">
        <v>65.75</v>
      </c>
      <c r="G162" s="518"/>
      <c r="H162" s="179"/>
      <c r="I162" s="506"/>
      <c r="J162" s="506"/>
      <c r="K162" s="15"/>
    </row>
    <row r="163" spans="1:11" ht="15" customHeight="1" x14ac:dyDescent="0.25">
      <c r="A163" s="178" t="s">
        <v>86</v>
      </c>
      <c r="B163" s="498" t="s">
        <v>155</v>
      </c>
      <c r="C163" s="499"/>
      <c r="D163" s="500"/>
      <c r="E163" s="112">
        <f>E164+E165</f>
        <v>11000</v>
      </c>
      <c r="F163" s="519"/>
      <c r="G163" s="520"/>
      <c r="H163" s="104">
        <f>F165/F164-100%</f>
        <v>0</v>
      </c>
      <c r="I163" s="521">
        <f>I164+I165</f>
        <v>71000</v>
      </c>
      <c r="J163" s="522"/>
      <c r="K163" s="14"/>
    </row>
    <row r="164" spans="1:11" ht="15" customHeight="1" x14ac:dyDescent="0.25">
      <c r="A164" s="179"/>
      <c r="B164" s="515" t="s">
        <v>100</v>
      </c>
      <c r="C164" s="515"/>
      <c r="D164" s="515"/>
      <c r="E164" s="181">
        <v>6000</v>
      </c>
      <c r="F164" s="517">
        <v>6.5</v>
      </c>
      <c r="G164" s="518"/>
      <c r="H164" s="179"/>
      <c r="I164" s="506">
        <f>E164*F164-400</f>
        <v>38600</v>
      </c>
      <c r="J164" s="506"/>
      <c r="K164" s="14"/>
    </row>
    <row r="165" spans="1:11" ht="15" customHeight="1" x14ac:dyDescent="0.25">
      <c r="A165" s="179"/>
      <c r="B165" s="515" t="s">
        <v>101</v>
      </c>
      <c r="C165" s="515"/>
      <c r="D165" s="515"/>
      <c r="E165" s="181">
        <v>5000</v>
      </c>
      <c r="F165" s="517">
        <v>6.5</v>
      </c>
      <c r="G165" s="518"/>
      <c r="H165" s="179"/>
      <c r="I165" s="506">
        <f>E165*F165-100</f>
        <v>32400</v>
      </c>
      <c r="J165" s="506"/>
    </row>
    <row r="166" spans="1:11" ht="15" customHeight="1" x14ac:dyDescent="0.25">
      <c r="A166" s="234" t="s">
        <v>87</v>
      </c>
      <c r="B166" s="498" t="s">
        <v>549</v>
      </c>
      <c r="C166" s="499"/>
      <c r="D166" s="500"/>
      <c r="E166" s="112"/>
      <c r="F166" s="519"/>
      <c r="G166" s="520"/>
      <c r="H166" s="104">
        <v>0</v>
      </c>
      <c r="I166" s="521">
        <v>100000</v>
      </c>
      <c r="J166" s="522"/>
      <c r="K166" s="148"/>
    </row>
    <row r="167" spans="1:11" ht="15" customHeight="1" x14ac:dyDescent="0.25">
      <c r="A167" s="179"/>
      <c r="B167" s="507" t="s">
        <v>13</v>
      </c>
      <c r="C167" s="507"/>
      <c r="D167" s="507"/>
      <c r="E167" s="175" t="s">
        <v>14</v>
      </c>
      <c r="F167" s="508" t="s">
        <v>14</v>
      </c>
      <c r="G167" s="508"/>
      <c r="H167" s="175" t="s">
        <v>14</v>
      </c>
      <c r="I167" s="509">
        <f>I154+I157+I160+I163+I166</f>
        <v>713000</v>
      </c>
      <c r="J167" s="508"/>
    </row>
    <row r="168" spans="1:11" s="41" customFormat="1" ht="19.5" customHeight="1" x14ac:dyDescent="0.25">
      <c r="A168" s="433" t="s">
        <v>289</v>
      </c>
      <c r="B168" s="433"/>
      <c r="C168" s="433"/>
      <c r="D168" s="433"/>
      <c r="E168" s="433"/>
      <c r="F168" s="433"/>
      <c r="G168" s="433"/>
      <c r="H168" s="433"/>
      <c r="I168" s="433"/>
      <c r="J168" s="433"/>
    </row>
    <row r="169" spans="1:11" s="41" customFormat="1" ht="15" customHeight="1" x14ac:dyDescent="0.2">
      <c r="A169" s="176" t="s">
        <v>1</v>
      </c>
      <c r="B169" s="402" t="s">
        <v>44</v>
      </c>
      <c r="C169" s="402"/>
      <c r="D169" s="402"/>
      <c r="E169" s="402" t="s">
        <v>58</v>
      </c>
      <c r="F169" s="402"/>
      <c r="G169" s="402" t="s">
        <v>59</v>
      </c>
      <c r="H169" s="402"/>
      <c r="I169" s="402" t="s">
        <v>60</v>
      </c>
      <c r="J169" s="402"/>
    </row>
    <row r="170" spans="1:11" ht="15" customHeight="1" x14ac:dyDescent="0.25">
      <c r="A170" s="176">
        <v>1</v>
      </c>
      <c r="B170" s="402">
        <v>2</v>
      </c>
      <c r="C170" s="402"/>
      <c r="D170" s="402"/>
      <c r="E170" s="402">
        <v>3</v>
      </c>
      <c r="F170" s="402"/>
      <c r="G170" s="402">
        <v>4</v>
      </c>
      <c r="H170" s="402"/>
      <c r="I170" s="402">
        <v>5</v>
      </c>
      <c r="J170" s="402"/>
      <c r="K170" s="15"/>
    </row>
    <row r="171" spans="1:11" ht="15" hidden="1" customHeight="1" x14ac:dyDescent="0.25">
      <c r="A171" s="179"/>
      <c r="B171" s="496"/>
      <c r="C171" s="504"/>
      <c r="D171" s="497"/>
      <c r="E171" s="515"/>
      <c r="F171" s="515"/>
      <c r="G171" s="515"/>
      <c r="H171" s="515"/>
      <c r="I171" s="515"/>
      <c r="J171" s="515"/>
      <c r="K171" s="14"/>
    </row>
    <row r="172" spans="1:11" ht="15" customHeight="1" x14ac:dyDescent="0.25">
      <c r="A172" s="175"/>
      <c r="B172" s="507" t="s">
        <v>13</v>
      </c>
      <c r="C172" s="507"/>
      <c r="D172" s="507"/>
      <c r="E172" s="508" t="s">
        <v>14</v>
      </c>
      <c r="F172" s="508"/>
      <c r="G172" s="508" t="s">
        <v>14</v>
      </c>
      <c r="H172" s="508"/>
      <c r="I172" s="508"/>
      <c r="J172" s="508"/>
    </row>
    <row r="173" spans="1:11" ht="16.5" customHeight="1" x14ac:dyDescent="0.25">
      <c r="A173" s="433" t="s">
        <v>285</v>
      </c>
      <c r="B173" s="433"/>
      <c r="C173" s="433"/>
      <c r="D173" s="433"/>
      <c r="E173" s="433"/>
      <c r="F173" s="433"/>
      <c r="G173" s="433"/>
      <c r="H173" s="433"/>
      <c r="I173" s="433"/>
      <c r="J173" s="433"/>
    </row>
    <row r="174" spans="1:11" ht="15" customHeight="1" x14ac:dyDescent="0.25">
      <c r="A174" s="523" t="s">
        <v>1</v>
      </c>
      <c r="B174" s="525" t="s">
        <v>15</v>
      </c>
      <c r="C174" s="526"/>
      <c r="D174" s="527"/>
      <c r="E174" s="523" t="s">
        <v>61</v>
      </c>
      <c r="F174" s="523" t="s">
        <v>62</v>
      </c>
      <c r="G174" s="402" t="s">
        <v>63</v>
      </c>
      <c r="H174" s="402"/>
      <c r="I174" s="402"/>
      <c r="J174" s="402"/>
    </row>
    <row r="175" spans="1:11" ht="24" customHeight="1" x14ac:dyDescent="0.25">
      <c r="A175" s="524"/>
      <c r="B175" s="528"/>
      <c r="C175" s="529"/>
      <c r="D175" s="530"/>
      <c r="E175" s="524"/>
      <c r="F175" s="524"/>
      <c r="G175" s="176" t="s">
        <v>308</v>
      </c>
      <c r="H175" s="176" t="s">
        <v>305</v>
      </c>
      <c r="I175" s="177" t="s">
        <v>306</v>
      </c>
      <c r="J175" s="176" t="s">
        <v>307</v>
      </c>
    </row>
    <row r="176" spans="1:11" ht="11.25" customHeight="1" x14ac:dyDescent="0.25">
      <c r="A176" s="176">
        <v>1</v>
      </c>
      <c r="B176" s="402">
        <v>2</v>
      </c>
      <c r="C176" s="402"/>
      <c r="D176" s="402"/>
      <c r="E176" s="176">
        <v>3</v>
      </c>
      <c r="F176" s="176">
        <v>4</v>
      </c>
      <c r="G176" s="490">
        <v>5</v>
      </c>
      <c r="H176" s="491"/>
      <c r="I176" s="491"/>
      <c r="J176" s="492"/>
    </row>
    <row r="177" spans="1:12" s="316" customFormat="1" ht="28.5" customHeight="1" x14ac:dyDescent="0.25">
      <c r="A177" s="283">
        <v>1</v>
      </c>
      <c r="B177" s="534" t="s">
        <v>550</v>
      </c>
      <c r="C177" s="534"/>
      <c r="D177" s="534"/>
      <c r="E177" s="218">
        <v>2</v>
      </c>
      <c r="F177" s="218">
        <v>1</v>
      </c>
      <c r="G177" s="283" t="s">
        <v>124</v>
      </c>
      <c r="H177" s="283">
        <v>2</v>
      </c>
      <c r="I177" s="313">
        <v>28400</v>
      </c>
      <c r="J177" s="314">
        <f>ROUND(H177*I177,0)-2053.54+106.54-200+800</f>
        <v>55453</v>
      </c>
      <c r="K177" s="315"/>
    </row>
    <row r="178" spans="1:12" s="318" customFormat="1" ht="28.5" customHeight="1" x14ac:dyDescent="0.25">
      <c r="A178" s="283">
        <v>2</v>
      </c>
      <c r="B178" s="538" t="s">
        <v>551</v>
      </c>
      <c r="C178" s="538"/>
      <c r="D178" s="538"/>
      <c r="E178" s="218">
        <v>2</v>
      </c>
      <c r="F178" s="218">
        <v>1</v>
      </c>
      <c r="G178" s="283" t="s">
        <v>124</v>
      </c>
      <c r="H178" s="283">
        <v>2</v>
      </c>
      <c r="I178" s="313">
        <v>12000</v>
      </c>
      <c r="J178" s="314">
        <f>ROUND(H178*I178,0)+2189</f>
        <v>26189</v>
      </c>
      <c r="K178" s="317"/>
    </row>
    <row r="179" spans="1:12" s="326" customFormat="1" ht="44.25" customHeight="1" x14ac:dyDescent="0.25">
      <c r="A179" s="322">
        <v>3</v>
      </c>
      <c r="B179" s="533" t="s">
        <v>114</v>
      </c>
      <c r="C179" s="533"/>
      <c r="D179" s="533"/>
      <c r="E179" s="322">
        <v>3</v>
      </c>
      <c r="F179" s="322">
        <v>1</v>
      </c>
      <c r="G179" s="322" t="s">
        <v>124</v>
      </c>
      <c r="H179" s="322">
        <v>3</v>
      </c>
      <c r="I179" s="323">
        <v>14974.45</v>
      </c>
      <c r="J179" s="324">
        <f>ROUND(H179*I179,0)</f>
        <v>44923</v>
      </c>
      <c r="K179" s="325"/>
    </row>
    <row r="180" spans="1:12" s="326" customFormat="1" ht="45" customHeight="1" x14ac:dyDescent="0.25">
      <c r="A180" s="322">
        <v>4</v>
      </c>
      <c r="B180" s="533" t="s">
        <v>109</v>
      </c>
      <c r="C180" s="533"/>
      <c r="D180" s="533"/>
      <c r="E180" s="322">
        <v>1</v>
      </c>
      <c r="F180" s="322">
        <v>1</v>
      </c>
      <c r="G180" s="322" t="s">
        <v>124</v>
      </c>
      <c r="H180" s="322">
        <v>2</v>
      </c>
      <c r="I180" s="323">
        <v>750</v>
      </c>
      <c r="J180" s="324">
        <f>ROUND(H180*I180,0)</f>
        <v>1500</v>
      </c>
      <c r="K180" s="325"/>
      <c r="L180" s="327"/>
    </row>
    <row r="181" spans="1:12" s="326" customFormat="1" ht="45" customHeight="1" x14ac:dyDescent="0.25">
      <c r="A181" s="322">
        <v>5</v>
      </c>
      <c r="B181" s="533" t="s">
        <v>552</v>
      </c>
      <c r="C181" s="533"/>
      <c r="D181" s="533"/>
      <c r="E181" s="322">
        <v>1</v>
      </c>
      <c r="F181" s="322">
        <v>1</v>
      </c>
      <c r="G181" s="322" t="s">
        <v>124</v>
      </c>
      <c r="H181" s="322">
        <v>2</v>
      </c>
      <c r="I181" s="323">
        <v>750</v>
      </c>
      <c r="J181" s="324">
        <f>ROUND(H181*I181,0)</f>
        <v>1500</v>
      </c>
      <c r="K181" s="325"/>
    </row>
    <row r="182" spans="1:12" s="326" customFormat="1" ht="43.5" customHeight="1" x14ac:dyDescent="0.25">
      <c r="A182" s="322">
        <v>6</v>
      </c>
      <c r="B182" s="533" t="s">
        <v>553</v>
      </c>
      <c r="C182" s="533"/>
      <c r="D182" s="533"/>
      <c r="E182" s="322">
        <v>2</v>
      </c>
      <c r="F182" s="322">
        <v>1</v>
      </c>
      <c r="G182" s="322" t="s">
        <v>554</v>
      </c>
      <c r="H182" s="322">
        <v>1</v>
      </c>
      <c r="I182" s="323">
        <v>10000</v>
      </c>
      <c r="J182" s="324">
        <f t="shared" ref="J182:J183" si="11">ROUND(H182*I182,0)</f>
        <v>10000</v>
      </c>
      <c r="K182" s="325"/>
    </row>
    <row r="183" spans="1:12" s="329" customFormat="1" ht="32.25" customHeight="1" x14ac:dyDescent="0.25">
      <c r="A183" s="322">
        <v>7</v>
      </c>
      <c r="B183" s="533" t="s">
        <v>555</v>
      </c>
      <c r="C183" s="533"/>
      <c r="D183" s="533"/>
      <c r="E183" s="322">
        <v>1</v>
      </c>
      <c r="F183" s="322">
        <v>1</v>
      </c>
      <c r="G183" s="322" t="s">
        <v>556</v>
      </c>
      <c r="H183" s="322">
        <v>4</v>
      </c>
      <c r="I183" s="323">
        <v>6000</v>
      </c>
      <c r="J183" s="324">
        <f t="shared" si="11"/>
        <v>24000</v>
      </c>
      <c r="K183" s="328"/>
    </row>
    <row r="184" spans="1:12" s="326" customFormat="1" ht="29.25" customHeight="1" x14ac:dyDescent="0.25">
      <c r="A184" s="322">
        <v>8</v>
      </c>
      <c r="B184" s="533" t="s">
        <v>557</v>
      </c>
      <c r="C184" s="533"/>
      <c r="D184" s="533"/>
      <c r="E184" s="322">
        <v>1</v>
      </c>
      <c r="F184" s="322">
        <v>1</v>
      </c>
      <c r="G184" s="330" t="s">
        <v>124</v>
      </c>
      <c r="H184" s="322">
        <v>2</v>
      </c>
      <c r="I184" s="323">
        <v>7200</v>
      </c>
      <c r="J184" s="324">
        <f>ROUND(H184*I184,0)</f>
        <v>14400</v>
      </c>
      <c r="K184" s="325"/>
    </row>
    <row r="185" spans="1:12" s="326" customFormat="1" ht="29.25" customHeight="1" x14ac:dyDescent="0.25">
      <c r="A185" s="322">
        <v>8</v>
      </c>
      <c r="B185" s="533" t="s">
        <v>558</v>
      </c>
      <c r="C185" s="533"/>
      <c r="D185" s="533"/>
      <c r="E185" s="322">
        <v>1</v>
      </c>
      <c r="F185" s="322">
        <v>1</v>
      </c>
      <c r="G185" s="330" t="s">
        <v>124</v>
      </c>
      <c r="H185" s="322">
        <v>2</v>
      </c>
      <c r="I185" s="323">
        <v>1017.58</v>
      </c>
      <c r="J185" s="324">
        <f>ROUND(H185*I185,0)</f>
        <v>2035</v>
      </c>
      <c r="K185" s="325"/>
      <c r="L185" s="327"/>
    </row>
    <row r="186" spans="1:12" s="316" customFormat="1" ht="29.25" customHeight="1" x14ac:dyDescent="0.25">
      <c r="A186" s="283">
        <v>9</v>
      </c>
      <c r="B186" s="534" t="s">
        <v>559</v>
      </c>
      <c r="C186" s="534"/>
      <c r="D186" s="534"/>
      <c r="E186" s="283">
        <v>1</v>
      </c>
      <c r="F186" s="283">
        <v>1</v>
      </c>
      <c r="G186" s="321" t="s">
        <v>124</v>
      </c>
      <c r="H186" s="283">
        <v>2</v>
      </c>
      <c r="I186" s="313">
        <v>9900</v>
      </c>
      <c r="J186" s="314">
        <f>ROUND(H186*I186,0)+200</f>
        <v>20000</v>
      </c>
      <c r="K186" s="315"/>
    </row>
    <row r="187" spans="1:12" s="320" customFormat="1" x14ac:dyDescent="0.25">
      <c r="A187" s="283"/>
      <c r="B187" s="535" t="s">
        <v>13</v>
      </c>
      <c r="C187" s="535"/>
      <c r="D187" s="535"/>
      <c r="E187" s="283" t="s">
        <v>14</v>
      </c>
      <c r="F187" s="283"/>
      <c r="G187" s="536">
        <f>SUM(J177:J186)</f>
        <v>200000</v>
      </c>
      <c r="H187" s="537"/>
      <c r="I187" s="537"/>
      <c r="J187" s="537"/>
      <c r="K187" s="319"/>
    </row>
    <row r="188" spans="1:12" ht="17.25" customHeight="1" x14ac:dyDescent="0.25">
      <c r="A188" s="433" t="s">
        <v>290</v>
      </c>
      <c r="B188" s="433"/>
      <c r="C188" s="433"/>
      <c r="D188" s="433"/>
      <c r="E188" s="433"/>
      <c r="F188" s="433"/>
      <c r="G188" s="433"/>
      <c r="H188" s="433"/>
      <c r="I188" s="433"/>
      <c r="J188" s="433"/>
    </row>
    <row r="189" spans="1:12" ht="17.25" customHeight="1" x14ac:dyDescent="0.25">
      <c r="A189" s="523" t="s">
        <v>1</v>
      </c>
      <c r="B189" s="525" t="s">
        <v>15</v>
      </c>
      <c r="C189" s="526"/>
      <c r="D189" s="527"/>
      <c r="E189" s="525" t="s">
        <v>64</v>
      </c>
      <c r="F189" s="527"/>
      <c r="G189" s="402" t="s">
        <v>65</v>
      </c>
      <c r="H189" s="402"/>
      <c r="I189" s="402"/>
      <c r="J189" s="402"/>
    </row>
    <row r="190" spans="1:12" ht="27.75" customHeight="1" x14ac:dyDescent="0.25">
      <c r="A190" s="524"/>
      <c r="B190" s="528"/>
      <c r="C190" s="529"/>
      <c r="D190" s="530"/>
      <c r="E190" s="528"/>
      <c r="F190" s="530"/>
      <c r="G190" s="176" t="s">
        <v>308</v>
      </c>
      <c r="H190" s="176" t="s">
        <v>305</v>
      </c>
      <c r="I190" s="176" t="s">
        <v>306</v>
      </c>
      <c r="J190" s="176" t="s">
        <v>307</v>
      </c>
    </row>
    <row r="191" spans="1:12" ht="14.25" customHeight="1" x14ac:dyDescent="0.25">
      <c r="A191" s="176">
        <v>1</v>
      </c>
      <c r="B191" s="402">
        <v>2</v>
      </c>
      <c r="C191" s="402"/>
      <c r="D191" s="402"/>
      <c r="E191" s="490">
        <v>3</v>
      </c>
      <c r="F191" s="492"/>
      <c r="G191" s="402">
        <v>4</v>
      </c>
      <c r="H191" s="402"/>
      <c r="I191" s="402"/>
      <c r="J191" s="402"/>
    </row>
    <row r="192" spans="1:12" s="336" customFormat="1" ht="17.25" customHeight="1" x14ac:dyDescent="0.25">
      <c r="A192" s="218">
        <v>1</v>
      </c>
      <c r="B192" s="538" t="s">
        <v>560</v>
      </c>
      <c r="C192" s="538"/>
      <c r="D192" s="538"/>
      <c r="E192" s="531">
        <v>1</v>
      </c>
      <c r="F192" s="532"/>
      <c r="G192" s="218" t="s">
        <v>561</v>
      </c>
      <c r="H192" s="218">
        <v>3315.2</v>
      </c>
      <c r="I192" s="333">
        <v>130.15</v>
      </c>
      <c r="J192" s="334">
        <f>H192*I192</f>
        <v>431473.27999999997</v>
      </c>
      <c r="K192" s="335"/>
    </row>
    <row r="193" spans="1:12" s="337" customFormat="1" ht="31.5" customHeight="1" x14ac:dyDescent="0.25">
      <c r="A193" s="218">
        <v>2</v>
      </c>
      <c r="B193" s="538" t="s">
        <v>562</v>
      </c>
      <c r="C193" s="538"/>
      <c r="D193" s="538"/>
      <c r="E193" s="531">
        <v>1</v>
      </c>
      <c r="F193" s="532"/>
      <c r="G193" s="218" t="s">
        <v>124</v>
      </c>
      <c r="H193" s="218">
        <v>2</v>
      </c>
      <c r="I193" s="333">
        <v>6708.23</v>
      </c>
      <c r="J193" s="334">
        <f>H193*I193</f>
        <v>13416.46</v>
      </c>
      <c r="L193" s="338"/>
    </row>
    <row r="194" spans="1:12" s="337" customFormat="1" ht="28.5" customHeight="1" x14ac:dyDescent="0.25">
      <c r="A194" s="218">
        <v>3</v>
      </c>
      <c r="B194" s="538" t="s">
        <v>563</v>
      </c>
      <c r="C194" s="538"/>
      <c r="D194" s="538"/>
      <c r="E194" s="531">
        <v>1</v>
      </c>
      <c r="F194" s="532"/>
      <c r="G194" s="218" t="s">
        <v>561</v>
      </c>
      <c r="H194" s="218">
        <v>1259.2</v>
      </c>
      <c r="I194" s="333">
        <v>20</v>
      </c>
      <c r="J194" s="334">
        <f>H194*I194</f>
        <v>25184</v>
      </c>
    </row>
    <row r="195" spans="1:12" s="337" customFormat="1" ht="29.25" customHeight="1" x14ac:dyDescent="0.25">
      <c r="A195" s="218">
        <v>4</v>
      </c>
      <c r="B195" s="538" t="s">
        <v>564</v>
      </c>
      <c r="C195" s="538"/>
      <c r="D195" s="538"/>
      <c r="E195" s="531">
        <v>1</v>
      </c>
      <c r="F195" s="532"/>
      <c r="G195" s="218" t="s">
        <v>561</v>
      </c>
      <c r="H195" s="218">
        <v>496</v>
      </c>
      <c r="I195" s="333">
        <v>10</v>
      </c>
      <c r="J195" s="334">
        <f t="shared" ref="J195" si="12">H195*I195</f>
        <v>4960</v>
      </c>
    </row>
    <row r="196" spans="1:12" s="336" customFormat="1" ht="42.75" customHeight="1" x14ac:dyDescent="0.25">
      <c r="A196" s="218">
        <v>5</v>
      </c>
      <c r="B196" s="538" t="s">
        <v>565</v>
      </c>
      <c r="C196" s="538"/>
      <c r="D196" s="538"/>
      <c r="E196" s="531">
        <v>1</v>
      </c>
      <c r="F196" s="532"/>
      <c r="G196" s="218" t="s">
        <v>124</v>
      </c>
      <c r="H196" s="218">
        <v>2</v>
      </c>
      <c r="I196" s="333">
        <v>11366.67</v>
      </c>
      <c r="J196" s="334">
        <f>H196*I196</f>
        <v>22733.34</v>
      </c>
      <c r="K196" s="802">
        <v>27280</v>
      </c>
    </row>
    <row r="197" spans="1:12" s="336" customFormat="1" ht="42.75" customHeight="1" x14ac:dyDescent="0.25">
      <c r="A197" s="218">
        <v>6</v>
      </c>
      <c r="B197" s="538" t="s">
        <v>566</v>
      </c>
      <c r="C197" s="538"/>
      <c r="D197" s="538"/>
      <c r="E197" s="531">
        <v>1</v>
      </c>
      <c r="F197" s="532"/>
      <c r="G197" s="218" t="s">
        <v>124</v>
      </c>
      <c r="H197" s="218">
        <v>2</v>
      </c>
      <c r="I197" s="333">
        <v>2300</v>
      </c>
      <c r="J197" s="334">
        <f>H197*I197+0.12</f>
        <v>4600.12</v>
      </c>
      <c r="K197" s="802">
        <v>5520</v>
      </c>
    </row>
    <row r="198" spans="1:12" s="336" customFormat="1" ht="24" customHeight="1" x14ac:dyDescent="0.25">
      <c r="A198" s="218">
        <v>7</v>
      </c>
      <c r="B198" s="538" t="s">
        <v>137</v>
      </c>
      <c r="C198" s="538"/>
      <c r="D198" s="538"/>
      <c r="E198" s="531">
        <v>1</v>
      </c>
      <c r="F198" s="532"/>
      <c r="G198" s="218" t="s">
        <v>149</v>
      </c>
      <c r="H198" s="218">
        <v>13</v>
      </c>
      <c r="I198" s="333">
        <v>4000</v>
      </c>
      <c r="J198" s="334">
        <f>H198*I198+639.32+393.6-0.12</f>
        <v>53032.799999999996</v>
      </c>
    </row>
    <row r="199" spans="1:12" s="337" customFormat="1" ht="20.25" customHeight="1" x14ac:dyDescent="0.25">
      <c r="A199" s="218">
        <v>8</v>
      </c>
      <c r="B199" s="538" t="s">
        <v>140</v>
      </c>
      <c r="C199" s="538"/>
      <c r="D199" s="538"/>
      <c r="E199" s="531">
        <v>1</v>
      </c>
      <c r="F199" s="532"/>
      <c r="G199" s="218" t="s">
        <v>149</v>
      </c>
      <c r="H199" s="218">
        <v>8</v>
      </c>
      <c r="I199" s="333">
        <v>400</v>
      </c>
      <c r="J199" s="334">
        <f>H199*I199+400</f>
        <v>3600</v>
      </c>
    </row>
    <row r="200" spans="1:12" s="337" customFormat="1" ht="20.25" customHeight="1" x14ac:dyDescent="0.25">
      <c r="A200" s="218">
        <v>9</v>
      </c>
      <c r="B200" s="538" t="s">
        <v>567</v>
      </c>
      <c r="C200" s="538"/>
      <c r="D200" s="538"/>
      <c r="E200" s="531">
        <v>1</v>
      </c>
      <c r="F200" s="532"/>
      <c r="G200" s="218" t="s">
        <v>149</v>
      </c>
      <c r="H200" s="218">
        <v>1</v>
      </c>
      <c r="I200" s="333">
        <v>4000</v>
      </c>
      <c r="J200" s="334">
        <f>I200*H200</f>
        <v>4000</v>
      </c>
    </row>
    <row r="201" spans="1:12" s="336" customFormat="1" ht="32.25" customHeight="1" x14ac:dyDescent="0.25">
      <c r="A201" s="218">
        <v>10</v>
      </c>
      <c r="B201" s="538" t="s">
        <v>568</v>
      </c>
      <c r="C201" s="538"/>
      <c r="D201" s="538"/>
      <c r="E201" s="531">
        <v>1</v>
      </c>
      <c r="F201" s="532"/>
      <c r="G201" s="218" t="s">
        <v>124</v>
      </c>
      <c r="H201" s="218">
        <v>12</v>
      </c>
      <c r="I201" s="333">
        <v>2000</v>
      </c>
      <c r="J201" s="334">
        <f t="shared" ref="J201" si="13">H201*I201</f>
        <v>24000</v>
      </c>
    </row>
    <row r="202" spans="1:12" s="320" customFormat="1" ht="45" customHeight="1" x14ac:dyDescent="0.25">
      <c r="A202" s="283">
        <v>11</v>
      </c>
      <c r="B202" s="534" t="s">
        <v>569</v>
      </c>
      <c r="C202" s="534"/>
      <c r="D202" s="534"/>
      <c r="E202" s="482">
        <v>1</v>
      </c>
      <c r="F202" s="483"/>
      <c r="G202" s="283" t="s">
        <v>309</v>
      </c>
      <c r="H202" s="283">
        <v>1</v>
      </c>
      <c r="I202" s="331">
        <v>6000</v>
      </c>
      <c r="J202" s="314">
        <f>H202*I202</f>
        <v>6000</v>
      </c>
    </row>
    <row r="203" spans="1:12" s="320" customFormat="1" ht="30" customHeight="1" x14ac:dyDescent="0.25">
      <c r="A203" s="283">
        <v>12</v>
      </c>
      <c r="B203" s="534" t="s">
        <v>570</v>
      </c>
      <c r="C203" s="534"/>
      <c r="D203" s="534"/>
      <c r="E203" s="482">
        <v>1</v>
      </c>
      <c r="F203" s="483"/>
      <c r="G203" s="283" t="s">
        <v>309</v>
      </c>
      <c r="H203" s="283">
        <v>1</v>
      </c>
      <c r="I203" s="331">
        <v>12000</v>
      </c>
      <c r="J203" s="314">
        <f t="shared" ref="J203:J205" si="14">H203*I203</f>
        <v>12000</v>
      </c>
    </row>
    <row r="204" spans="1:12" s="320" customFormat="1" ht="31.5" customHeight="1" x14ac:dyDescent="0.25">
      <c r="A204" s="283">
        <v>13</v>
      </c>
      <c r="B204" s="534" t="s">
        <v>571</v>
      </c>
      <c r="C204" s="534"/>
      <c r="D204" s="534"/>
      <c r="E204" s="482">
        <v>1</v>
      </c>
      <c r="F204" s="483"/>
      <c r="G204" s="283" t="s">
        <v>309</v>
      </c>
      <c r="H204" s="283">
        <v>1</v>
      </c>
      <c r="I204" s="331">
        <v>3000</v>
      </c>
      <c r="J204" s="314">
        <f>H204*I204</f>
        <v>3000</v>
      </c>
    </row>
    <row r="205" spans="1:12" s="320" customFormat="1" ht="32.25" customHeight="1" x14ac:dyDescent="0.25">
      <c r="A205" s="283">
        <v>14</v>
      </c>
      <c r="B205" s="534" t="s">
        <v>572</v>
      </c>
      <c r="C205" s="534"/>
      <c r="D205" s="534"/>
      <c r="E205" s="482">
        <v>1</v>
      </c>
      <c r="F205" s="483"/>
      <c r="G205" s="283" t="s">
        <v>309</v>
      </c>
      <c r="H205" s="283">
        <v>1</v>
      </c>
      <c r="I205" s="331">
        <v>2000</v>
      </c>
      <c r="J205" s="314">
        <f t="shared" si="14"/>
        <v>2000</v>
      </c>
    </row>
    <row r="206" spans="1:12" s="320" customFormat="1" ht="15.75" x14ac:dyDescent="0.25">
      <c r="A206" s="332"/>
      <c r="B206" s="578" t="s">
        <v>13</v>
      </c>
      <c r="C206" s="579"/>
      <c r="D206" s="580"/>
      <c r="E206" s="576" t="s">
        <v>14</v>
      </c>
      <c r="F206" s="577"/>
      <c r="G206" s="573">
        <f>SUM(J192:J205)</f>
        <v>610000</v>
      </c>
      <c r="H206" s="574"/>
      <c r="I206" s="574"/>
      <c r="J206" s="575"/>
    </row>
    <row r="207" spans="1:12" ht="30" customHeight="1" x14ac:dyDescent="0.25">
      <c r="A207" s="569" t="s">
        <v>390</v>
      </c>
      <c r="B207" s="569"/>
      <c r="C207" s="569"/>
      <c r="D207" s="569"/>
      <c r="E207" s="569"/>
      <c r="F207" s="569"/>
      <c r="G207" s="569"/>
      <c r="H207" s="569"/>
      <c r="I207" s="569"/>
      <c r="J207" s="569"/>
    </row>
    <row r="208" spans="1:12" ht="30" customHeight="1" x14ac:dyDescent="0.25">
      <c r="A208" s="240" t="s">
        <v>1</v>
      </c>
      <c r="B208" s="402" t="s">
        <v>44</v>
      </c>
      <c r="C208" s="402"/>
      <c r="D208" s="402"/>
      <c r="E208" s="402" t="s">
        <v>58</v>
      </c>
      <c r="F208" s="402"/>
      <c r="G208" s="402" t="s">
        <v>59</v>
      </c>
      <c r="H208" s="402"/>
      <c r="I208" s="402" t="s">
        <v>60</v>
      </c>
      <c r="J208" s="402"/>
    </row>
    <row r="209" spans="1:11" ht="30" customHeight="1" x14ac:dyDescent="0.25">
      <c r="A209" s="240">
        <v>1</v>
      </c>
      <c r="B209" s="402">
        <v>2</v>
      </c>
      <c r="C209" s="402"/>
      <c r="D209" s="402"/>
      <c r="E209" s="402">
        <v>3</v>
      </c>
      <c r="F209" s="402"/>
      <c r="G209" s="402">
        <v>4</v>
      </c>
      <c r="H209" s="402"/>
      <c r="I209" s="402">
        <v>5</v>
      </c>
      <c r="J209" s="402"/>
    </row>
    <row r="210" spans="1:11" ht="30" customHeight="1" x14ac:dyDescent="0.25">
      <c r="A210" s="241" t="s">
        <v>27</v>
      </c>
      <c r="B210" s="496"/>
      <c r="C210" s="504"/>
      <c r="D210" s="497"/>
      <c r="E210" s="515"/>
      <c r="F210" s="515"/>
      <c r="G210" s="515"/>
      <c r="H210" s="515"/>
      <c r="I210" s="515"/>
      <c r="J210" s="515"/>
    </row>
    <row r="211" spans="1:11" ht="30" customHeight="1" x14ac:dyDescent="0.25">
      <c r="A211" s="239"/>
      <c r="B211" s="507" t="s">
        <v>13</v>
      </c>
      <c r="C211" s="507"/>
      <c r="D211" s="507"/>
      <c r="E211" s="508" t="s">
        <v>14</v>
      </c>
      <c r="F211" s="508"/>
      <c r="G211" s="508" t="s">
        <v>14</v>
      </c>
      <c r="H211" s="508"/>
      <c r="I211" s="508">
        <f>I210</f>
        <v>0</v>
      </c>
      <c r="J211" s="508"/>
    </row>
    <row r="212" spans="1:11" ht="15.75" customHeight="1" x14ac:dyDescent="0.25">
      <c r="A212" s="434" t="s">
        <v>391</v>
      </c>
      <c r="B212" s="434"/>
      <c r="C212" s="434"/>
      <c r="D212" s="434"/>
      <c r="E212" s="434"/>
      <c r="F212" s="434"/>
      <c r="G212" s="434"/>
      <c r="H212" s="434"/>
      <c r="I212" s="434"/>
      <c r="J212" s="434"/>
    </row>
    <row r="213" spans="1:11" ht="17.25" customHeight="1" x14ac:dyDescent="0.25">
      <c r="A213" s="240" t="s">
        <v>1</v>
      </c>
      <c r="B213" s="490" t="s">
        <v>15</v>
      </c>
      <c r="C213" s="491"/>
      <c r="D213" s="492"/>
      <c r="E213" s="490" t="s">
        <v>58</v>
      </c>
      <c r="F213" s="492"/>
      <c r="G213" s="490" t="s">
        <v>66</v>
      </c>
      <c r="H213" s="492"/>
      <c r="I213" s="490" t="s">
        <v>264</v>
      </c>
      <c r="J213" s="492"/>
    </row>
    <row r="214" spans="1:11" ht="16.5" customHeight="1" x14ac:dyDescent="0.25">
      <c r="A214" s="240">
        <v>1</v>
      </c>
      <c r="B214" s="490">
        <v>2</v>
      </c>
      <c r="C214" s="491"/>
      <c r="D214" s="492"/>
      <c r="E214" s="490">
        <v>3</v>
      </c>
      <c r="F214" s="492"/>
      <c r="G214" s="490">
        <v>4</v>
      </c>
      <c r="H214" s="492"/>
      <c r="I214" s="490">
        <v>5</v>
      </c>
      <c r="J214" s="492"/>
    </row>
    <row r="215" spans="1:11" ht="30" hidden="1" customHeight="1" x14ac:dyDescent="0.25">
      <c r="A215" s="242" t="s">
        <v>70</v>
      </c>
      <c r="B215" s="498" t="s">
        <v>170</v>
      </c>
      <c r="C215" s="499"/>
      <c r="D215" s="500"/>
      <c r="E215" s="107"/>
      <c r="F215" s="107"/>
      <c r="G215" s="475"/>
      <c r="H215" s="476"/>
      <c r="I215" s="565">
        <f>I216</f>
        <v>0</v>
      </c>
      <c r="J215" s="564"/>
    </row>
    <row r="216" spans="1:11" ht="17.25" hidden="1" customHeight="1" x14ac:dyDescent="0.25">
      <c r="A216" s="241" t="s">
        <v>27</v>
      </c>
      <c r="B216" s="541" t="s">
        <v>334</v>
      </c>
      <c r="C216" s="542"/>
      <c r="D216" s="543"/>
      <c r="E216" s="108" t="s">
        <v>310</v>
      </c>
      <c r="F216" s="108">
        <v>4</v>
      </c>
      <c r="G216" s="517" t="s">
        <v>260</v>
      </c>
      <c r="H216" s="518"/>
      <c r="I216" s="544"/>
      <c r="J216" s="545"/>
    </row>
    <row r="217" spans="1:11" s="41" customFormat="1" ht="30" hidden="1" customHeight="1" x14ac:dyDescent="0.25">
      <c r="A217" s="241" t="s">
        <v>27</v>
      </c>
      <c r="B217" s="546" t="s">
        <v>335</v>
      </c>
      <c r="C217" s="547"/>
      <c r="D217" s="548"/>
      <c r="E217" s="108" t="s">
        <v>331</v>
      </c>
      <c r="F217" s="238">
        <v>21</v>
      </c>
      <c r="G217" s="517" t="s">
        <v>74</v>
      </c>
      <c r="H217" s="518"/>
      <c r="I217" s="544"/>
      <c r="J217" s="545"/>
    </row>
    <row r="218" spans="1:11" s="41" customFormat="1" ht="30" customHeight="1" x14ac:dyDescent="0.25">
      <c r="A218" s="224" t="s">
        <v>27</v>
      </c>
      <c r="B218" s="551"/>
      <c r="C218" s="551"/>
      <c r="D218" s="551"/>
      <c r="E218" s="206"/>
      <c r="F218" s="207"/>
      <c r="G218" s="552"/>
      <c r="H218" s="552"/>
      <c r="I218" s="591"/>
      <c r="J218" s="592"/>
    </row>
    <row r="219" spans="1:11" ht="30" hidden="1" customHeight="1" x14ac:dyDescent="0.25">
      <c r="A219" s="195" t="s">
        <v>38</v>
      </c>
      <c r="B219" s="551" t="s">
        <v>183</v>
      </c>
      <c r="C219" s="551"/>
      <c r="D219" s="551"/>
      <c r="E219" s="108" t="s">
        <v>311</v>
      </c>
      <c r="F219" s="197">
        <v>1007</v>
      </c>
      <c r="G219" s="552" t="s">
        <v>260</v>
      </c>
      <c r="H219" s="552"/>
      <c r="I219" s="549"/>
      <c r="J219" s="550"/>
    </row>
    <row r="220" spans="1:11" s="41" customFormat="1" ht="30" hidden="1" customHeight="1" x14ac:dyDescent="0.25">
      <c r="A220" s="109" t="s">
        <v>40</v>
      </c>
      <c r="B220" s="551" t="s">
        <v>184</v>
      </c>
      <c r="C220" s="551"/>
      <c r="D220" s="551"/>
      <c r="E220" s="108" t="s">
        <v>311</v>
      </c>
      <c r="F220" s="197">
        <v>1007</v>
      </c>
      <c r="G220" s="552" t="s">
        <v>260</v>
      </c>
      <c r="H220" s="552"/>
      <c r="I220" s="549"/>
      <c r="J220" s="550"/>
    </row>
    <row r="221" spans="1:11" ht="30" hidden="1" customHeight="1" x14ac:dyDescent="0.25">
      <c r="A221" s="195" t="s">
        <v>42</v>
      </c>
      <c r="B221" s="551" t="s">
        <v>185</v>
      </c>
      <c r="C221" s="551"/>
      <c r="D221" s="551"/>
      <c r="E221" s="108" t="s">
        <v>311</v>
      </c>
      <c r="F221" s="197">
        <v>1007</v>
      </c>
      <c r="G221" s="552" t="s">
        <v>260</v>
      </c>
      <c r="H221" s="552"/>
      <c r="I221" s="549"/>
      <c r="J221" s="550"/>
      <c r="K221" s="15"/>
    </row>
    <row r="222" spans="1:11" ht="30" hidden="1" customHeight="1" x14ac:dyDescent="0.25">
      <c r="A222" s="195" t="s">
        <v>180</v>
      </c>
      <c r="B222" s="551" t="s">
        <v>186</v>
      </c>
      <c r="C222" s="551"/>
      <c r="D222" s="551"/>
      <c r="E222" s="108" t="s">
        <v>311</v>
      </c>
      <c r="F222" s="197">
        <v>1007</v>
      </c>
      <c r="G222" s="552" t="s">
        <v>260</v>
      </c>
      <c r="H222" s="552"/>
      <c r="I222" s="549"/>
      <c r="J222" s="550"/>
      <c r="K222" s="14"/>
    </row>
    <row r="223" spans="1:11" ht="30" hidden="1" customHeight="1" x14ac:dyDescent="0.25">
      <c r="A223" s="109" t="s">
        <v>181</v>
      </c>
      <c r="B223" s="551" t="s">
        <v>192</v>
      </c>
      <c r="C223" s="551"/>
      <c r="D223" s="551"/>
      <c r="E223" s="108" t="s">
        <v>311</v>
      </c>
      <c r="F223" s="197">
        <v>1007</v>
      </c>
      <c r="G223" s="552" t="s">
        <v>260</v>
      </c>
      <c r="H223" s="552"/>
      <c r="I223" s="549"/>
      <c r="J223" s="550"/>
    </row>
    <row r="224" spans="1:11" ht="17.25" customHeight="1" x14ac:dyDescent="0.25">
      <c r="A224" s="195"/>
      <c r="B224" s="507" t="s">
        <v>13</v>
      </c>
      <c r="C224" s="507"/>
      <c r="D224" s="507"/>
      <c r="E224" s="553" t="s">
        <v>74</v>
      </c>
      <c r="F224" s="554"/>
      <c r="G224" s="508" t="s">
        <v>14</v>
      </c>
      <c r="H224" s="508"/>
      <c r="I224" s="509"/>
      <c r="J224" s="508"/>
    </row>
    <row r="225" spans="1:10" ht="21.75" customHeight="1" x14ac:dyDescent="0.25">
      <c r="A225" s="540" t="s">
        <v>392</v>
      </c>
      <c r="B225" s="540"/>
      <c r="C225" s="540"/>
      <c r="D225" s="540"/>
      <c r="E225" s="540"/>
      <c r="F225" s="540"/>
      <c r="G225" s="540"/>
      <c r="H225" s="540"/>
      <c r="I225" s="540"/>
      <c r="J225" s="540"/>
    </row>
    <row r="226" spans="1:10" ht="15.75" x14ac:dyDescent="0.25">
      <c r="A226" s="593"/>
      <c r="B226" s="593"/>
      <c r="C226" s="593"/>
      <c r="D226" s="593"/>
      <c r="E226" s="593"/>
      <c r="F226" s="593"/>
      <c r="G226" s="593"/>
      <c r="H226" s="593"/>
      <c r="I226" s="593"/>
      <c r="J226" s="593"/>
    </row>
    <row r="227" spans="1:10" ht="15" customHeight="1" x14ac:dyDescent="0.25">
      <c r="A227" s="176" t="s">
        <v>1</v>
      </c>
      <c r="B227" s="402" t="s">
        <v>15</v>
      </c>
      <c r="C227" s="402"/>
      <c r="D227" s="402"/>
      <c r="E227" s="402" t="s">
        <v>58</v>
      </c>
      <c r="F227" s="402"/>
      <c r="G227" s="402" t="s">
        <v>66</v>
      </c>
      <c r="H227" s="402"/>
      <c r="I227" s="402" t="s">
        <v>264</v>
      </c>
      <c r="J227" s="402"/>
    </row>
    <row r="228" spans="1:10" x14ac:dyDescent="0.25">
      <c r="A228" s="176">
        <v>1</v>
      </c>
      <c r="B228" s="402">
        <v>2</v>
      </c>
      <c r="C228" s="402"/>
      <c r="D228" s="402"/>
      <c r="E228" s="402">
        <v>3</v>
      </c>
      <c r="F228" s="402"/>
      <c r="G228" s="402">
        <v>4</v>
      </c>
      <c r="H228" s="402"/>
      <c r="I228" s="402">
        <v>5</v>
      </c>
      <c r="J228" s="402"/>
    </row>
    <row r="229" spans="1:10" s="46" customFormat="1" ht="15" customHeight="1" x14ac:dyDescent="0.25">
      <c r="A229" s="562" t="s">
        <v>365</v>
      </c>
      <c r="B229" s="562"/>
      <c r="C229" s="562"/>
      <c r="D229" s="562"/>
      <c r="E229" s="562"/>
      <c r="F229" s="562"/>
      <c r="G229" s="562"/>
      <c r="H229" s="562"/>
      <c r="I229" s="562"/>
      <c r="J229" s="562"/>
    </row>
    <row r="230" spans="1:10" s="45" customFormat="1" ht="33" customHeight="1" x14ac:dyDescent="0.25">
      <c r="A230" s="196">
        <v>1</v>
      </c>
      <c r="B230" s="498"/>
      <c r="C230" s="499"/>
      <c r="D230" s="500"/>
      <c r="E230" s="107"/>
      <c r="F230" s="107"/>
      <c r="G230" s="475"/>
      <c r="H230" s="476"/>
      <c r="I230" s="563">
        <f>SUM(I231:J232)</f>
        <v>20000</v>
      </c>
      <c r="J230" s="564"/>
    </row>
    <row r="231" spans="1:10" s="46" customFormat="1" ht="15" customHeight="1" x14ac:dyDescent="0.25">
      <c r="A231" s="195" t="s">
        <v>27</v>
      </c>
      <c r="B231" s="555" t="s">
        <v>573</v>
      </c>
      <c r="C231" s="555"/>
      <c r="D231" s="555"/>
      <c r="E231" s="236"/>
      <c r="F231" s="237"/>
      <c r="G231" s="556"/>
      <c r="H231" s="556"/>
      <c r="I231" s="557">
        <v>10000</v>
      </c>
      <c r="J231" s="558"/>
    </row>
    <row r="232" spans="1:10" s="45" customFormat="1" x14ac:dyDescent="0.25">
      <c r="A232" s="195" t="s">
        <v>29</v>
      </c>
      <c r="B232" s="555" t="s">
        <v>574</v>
      </c>
      <c r="C232" s="555"/>
      <c r="D232" s="555"/>
      <c r="E232" s="236"/>
      <c r="F232" s="237"/>
      <c r="G232" s="556"/>
      <c r="H232" s="556"/>
      <c r="I232" s="557">
        <v>10000</v>
      </c>
      <c r="J232" s="558"/>
    </row>
    <row r="233" spans="1:10" s="45" customFormat="1" x14ac:dyDescent="0.25">
      <c r="A233" s="109"/>
      <c r="B233" s="507"/>
      <c r="C233" s="507"/>
      <c r="D233" s="507"/>
      <c r="E233" s="108"/>
      <c r="F233" s="197"/>
      <c r="G233" s="552"/>
      <c r="H233" s="552"/>
      <c r="I233" s="559"/>
      <c r="J233" s="454"/>
    </row>
    <row r="234" spans="1:10" s="45" customFormat="1" ht="15.75" customHeight="1" x14ac:dyDescent="0.25">
      <c r="A234" s="539" t="s">
        <v>393</v>
      </c>
      <c r="B234" s="539"/>
      <c r="C234" s="539"/>
      <c r="D234" s="539"/>
      <c r="E234" s="539"/>
      <c r="F234" s="539"/>
      <c r="G234" s="539"/>
      <c r="H234" s="539"/>
      <c r="I234" s="539"/>
      <c r="J234" s="539"/>
    </row>
    <row r="235" spans="1:10" x14ac:dyDescent="0.25">
      <c r="A235" s="523" t="s">
        <v>1</v>
      </c>
      <c r="B235" s="525" t="s">
        <v>15</v>
      </c>
      <c r="C235" s="526"/>
      <c r="D235" s="527"/>
      <c r="E235" s="525" t="s">
        <v>64</v>
      </c>
      <c r="F235" s="527"/>
      <c r="G235" s="402" t="s">
        <v>65</v>
      </c>
      <c r="H235" s="402"/>
      <c r="I235" s="402"/>
      <c r="J235" s="402"/>
    </row>
    <row r="236" spans="1:10" ht="25.5" x14ac:dyDescent="0.25">
      <c r="A236" s="524"/>
      <c r="B236" s="528"/>
      <c r="C236" s="529"/>
      <c r="D236" s="530"/>
      <c r="E236" s="528"/>
      <c r="F236" s="530"/>
      <c r="G236" s="176" t="s">
        <v>308</v>
      </c>
      <c r="H236" s="176" t="s">
        <v>305</v>
      </c>
      <c r="I236" s="176" t="s">
        <v>306</v>
      </c>
      <c r="J236" s="176" t="s">
        <v>307</v>
      </c>
    </row>
    <row r="237" spans="1:10" x14ac:dyDescent="0.25">
      <c r="A237" s="176">
        <v>1</v>
      </c>
      <c r="B237" s="402">
        <v>2</v>
      </c>
      <c r="C237" s="402"/>
      <c r="D237" s="402"/>
      <c r="E237" s="490">
        <v>3</v>
      </c>
      <c r="F237" s="492"/>
      <c r="G237" s="402">
        <v>4</v>
      </c>
      <c r="H237" s="402"/>
      <c r="I237" s="402"/>
      <c r="J237" s="402"/>
    </row>
    <row r="238" spans="1:10" ht="15" customHeight="1" x14ac:dyDescent="0.25">
      <c r="A238" s="179" t="s">
        <v>70</v>
      </c>
      <c r="B238" s="510"/>
      <c r="C238" s="510"/>
      <c r="D238" s="510"/>
      <c r="E238" s="496"/>
      <c r="F238" s="497"/>
      <c r="G238" s="179"/>
      <c r="H238" s="179"/>
      <c r="I238" s="105"/>
      <c r="J238" s="128">
        <v>0</v>
      </c>
    </row>
    <row r="239" spans="1:10" ht="15.75" x14ac:dyDescent="0.25">
      <c r="A239" s="106"/>
      <c r="B239" s="586" t="s">
        <v>13</v>
      </c>
      <c r="C239" s="586"/>
      <c r="D239" s="586"/>
      <c r="E239" s="587" t="s">
        <v>14</v>
      </c>
      <c r="F239" s="588"/>
      <c r="G239" s="589">
        <f>SUM(J238:J238)</f>
        <v>0</v>
      </c>
      <c r="H239" s="590"/>
      <c r="I239" s="590"/>
      <c r="J239" s="590"/>
    </row>
    <row r="240" spans="1:10" x14ac:dyDescent="0.25">
      <c r="A240" s="93"/>
      <c r="B240" s="93"/>
      <c r="C240" s="93"/>
      <c r="D240" s="93"/>
      <c r="E240" s="93"/>
      <c r="F240" s="93"/>
      <c r="G240" s="93"/>
      <c r="H240" s="93"/>
      <c r="I240" s="93"/>
      <c r="J240" s="93"/>
    </row>
    <row r="241" spans="1:11" x14ac:dyDescent="0.25">
      <c r="A241" s="93"/>
      <c r="B241" s="93"/>
      <c r="C241" s="93"/>
      <c r="D241" s="93"/>
      <c r="E241" s="93"/>
      <c r="F241" s="93"/>
      <c r="G241" s="93"/>
      <c r="H241" s="110" t="s">
        <v>212</v>
      </c>
      <c r="I241" s="560">
        <f>I243+J244</f>
        <v>34483600.002000004</v>
      </c>
      <c r="J241" s="560"/>
    </row>
    <row r="242" spans="1:11" x14ac:dyDescent="0.25">
      <c r="A242" s="93"/>
      <c r="B242" s="93"/>
      <c r="C242" s="93"/>
      <c r="D242" s="93"/>
      <c r="E242" s="93"/>
      <c r="F242" s="93"/>
      <c r="G242" s="93"/>
      <c r="H242" s="111" t="s">
        <v>248</v>
      </c>
      <c r="I242" s="93"/>
      <c r="J242" s="93"/>
    </row>
    <row r="243" spans="1:11" x14ac:dyDescent="0.25">
      <c r="A243" s="93"/>
      <c r="B243" s="93"/>
      <c r="C243" s="93"/>
      <c r="D243" s="93"/>
      <c r="E243" s="93"/>
      <c r="F243" s="93"/>
      <c r="G243" s="93"/>
      <c r="H243" s="111" t="s">
        <v>82</v>
      </c>
      <c r="I243" s="561">
        <f>I230+G206+G187+I167+I144+I118+I96+I73+I68+J52+I57</f>
        <v>34419400.002000004</v>
      </c>
      <c r="J243" s="561"/>
      <c r="K243" s="148"/>
    </row>
    <row r="244" spans="1:11" x14ac:dyDescent="0.25">
      <c r="A244" s="93"/>
      <c r="B244" s="93"/>
      <c r="C244" s="93"/>
      <c r="D244" s="93"/>
      <c r="E244" s="93"/>
      <c r="F244" s="93"/>
      <c r="G244" s="93"/>
      <c r="H244" s="111" t="s">
        <v>532</v>
      </c>
      <c r="I244" s="93"/>
      <c r="J244" s="126">
        <f>I97+J51</f>
        <v>64200</v>
      </c>
    </row>
    <row r="245" spans="1:11" s="119" customFormat="1" ht="15" customHeight="1" x14ac:dyDescent="0.25">
      <c r="A245" s="406" t="s">
        <v>514</v>
      </c>
      <c r="B245" s="406"/>
      <c r="C245" s="406"/>
      <c r="D245" s="116"/>
      <c r="E245" s="116"/>
      <c r="F245" s="117" t="s">
        <v>690</v>
      </c>
      <c r="G245" s="118"/>
      <c r="H245" s="118"/>
    </row>
    <row r="246" spans="1:11" s="119" customFormat="1" ht="15" customHeight="1" x14ac:dyDescent="0.2">
      <c r="A246" s="120"/>
      <c r="B246" s="120"/>
      <c r="C246" s="120"/>
      <c r="D246" s="407" t="s">
        <v>281</v>
      </c>
      <c r="E246" s="407"/>
      <c r="F246" s="271" t="s">
        <v>282</v>
      </c>
      <c r="G246" s="271"/>
      <c r="H246" s="271"/>
    </row>
    <row r="247" spans="1:11" s="121" customFormat="1" ht="15" customHeight="1" x14ac:dyDescent="0.25">
      <c r="A247" s="406" t="s">
        <v>262</v>
      </c>
      <c r="B247" s="406"/>
      <c r="C247" s="406"/>
      <c r="D247" s="116"/>
      <c r="E247" s="116"/>
      <c r="F247" s="117" t="s">
        <v>509</v>
      </c>
      <c r="G247" s="117"/>
      <c r="H247" s="117"/>
    </row>
    <row r="248" spans="1:11" s="119" customFormat="1" ht="15" customHeight="1" x14ac:dyDescent="0.2">
      <c r="A248" s="120"/>
      <c r="B248" s="120"/>
      <c r="C248" s="120"/>
      <c r="D248" s="407" t="s">
        <v>281</v>
      </c>
      <c r="E248" s="407"/>
      <c r="F248" s="271" t="s">
        <v>282</v>
      </c>
      <c r="G248" s="271"/>
      <c r="H248" s="271"/>
    </row>
    <row r="249" spans="1:11" s="121" customFormat="1" ht="15" customHeight="1" x14ac:dyDescent="0.25">
      <c r="A249" s="406" t="s">
        <v>374</v>
      </c>
      <c r="B249" s="406"/>
      <c r="C249" s="406"/>
      <c r="D249" s="116"/>
      <c r="E249" s="116"/>
      <c r="F249" s="117" t="s">
        <v>510</v>
      </c>
      <c r="G249" s="117"/>
      <c r="H249" s="117"/>
    </row>
    <row r="250" spans="1:11" s="119" customFormat="1" ht="12.75" x14ac:dyDescent="0.2">
      <c r="A250" s="281"/>
      <c r="B250" s="281"/>
      <c r="C250" s="281"/>
      <c r="D250" s="407" t="s">
        <v>281</v>
      </c>
      <c r="E250" s="407"/>
      <c r="F250" s="271" t="s">
        <v>282</v>
      </c>
      <c r="G250" s="271"/>
      <c r="H250" s="271"/>
    </row>
    <row r="251" spans="1:11" x14ac:dyDescent="0.25">
      <c r="A251" s="182"/>
      <c r="B251" s="182"/>
      <c r="C251" s="182"/>
      <c r="D251" s="182"/>
      <c r="E251" s="182"/>
      <c r="F251" s="182"/>
      <c r="G251" s="45"/>
      <c r="H251" s="45"/>
      <c r="I251" s="45"/>
      <c r="J251" s="45"/>
    </row>
    <row r="252" spans="1:11" x14ac:dyDescent="0.25">
      <c r="A252" s="47" t="s">
        <v>283</v>
      </c>
      <c r="B252" s="174" t="s">
        <v>578</v>
      </c>
      <c r="C252" s="182"/>
      <c r="D252" s="182"/>
      <c r="E252" s="182"/>
      <c r="F252" s="182"/>
      <c r="G252" s="45"/>
      <c r="H252" s="45"/>
      <c r="I252" s="45"/>
      <c r="J252" s="45"/>
    </row>
    <row r="253" spans="1:11" x14ac:dyDescent="0.25">
      <c r="A253" s="182"/>
      <c r="B253" s="182"/>
      <c r="C253" s="182"/>
      <c r="D253" s="182"/>
      <c r="E253" s="182"/>
      <c r="F253" s="182"/>
      <c r="G253" s="45"/>
      <c r="H253" s="45"/>
      <c r="I253" s="45"/>
      <c r="J253" s="45"/>
    </row>
    <row r="254" spans="1:11" x14ac:dyDescent="0.25">
      <c r="A254" s="392"/>
      <c r="B254" s="392"/>
      <c r="C254" s="182"/>
      <c r="D254" s="182"/>
      <c r="E254" s="182"/>
      <c r="F254" s="182"/>
      <c r="G254" s="45"/>
      <c r="H254" s="45"/>
      <c r="I254" s="45"/>
      <c r="J254" s="45"/>
    </row>
  </sheetData>
  <mergeCells count="508">
    <mergeCell ref="A49:I49"/>
    <mergeCell ref="A51:I51"/>
    <mergeCell ref="G97:H97"/>
    <mergeCell ref="B81:F81"/>
    <mergeCell ref="G81:H81"/>
    <mergeCell ref="I81:J81"/>
    <mergeCell ref="B85:F85"/>
    <mergeCell ref="G85:H85"/>
    <mergeCell ref="B91:F91"/>
    <mergeCell ref="G91:H91"/>
    <mergeCell ref="I91:J91"/>
    <mergeCell ref="B95:F95"/>
    <mergeCell ref="G95:H95"/>
    <mergeCell ref="I95:J95"/>
    <mergeCell ref="B88:F88"/>
    <mergeCell ref="G88:H88"/>
    <mergeCell ref="I88:J88"/>
    <mergeCell ref="B70:D70"/>
    <mergeCell ref="E70:F70"/>
    <mergeCell ref="I70:J70"/>
    <mergeCell ref="B67:D67"/>
    <mergeCell ref="E67:F67"/>
    <mergeCell ref="I67:J67"/>
    <mergeCell ref="B63:D63"/>
    <mergeCell ref="A53:B53"/>
    <mergeCell ref="B143:D143"/>
    <mergeCell ref="G143:H143"/>
    <mergeCell ref="I143:J143"/>
    <mergeCell ref="B125:D125"/>
    <mergeCell ref="E125:F125"/>
    <mergeCell ref="G125:H125"/>
    <mergeCell ref="I125:J125"/>
    <mergeCell ref="A126:J126"/>
    <mergeCell ref="A62:J62"/>
    <mergeCell ref="A64:J64"/>
    <mergeCell ref="A66:J66"/>
    <mergeCell ref="B68:D68"/>
    <mergeCell ref="E68:F68"/>
    <mergeCell ref="I68:J68"/>
    <mergeCell ref="A69:J69"/>
    <mergeCell ref="G114:H114"/>
    <mergeCell ref="I114:J114"/>
    <mergeCell ref="E115:F115"/>
    <mergeCell ref="A109:J109"/>
    <mergeCell ref="B112:D112"/>
    <mergeCell ref="E112:F112"/>
    <mergeCell ref="G112:H112"/>
    <mergeCell ref="I112:J112"/>
    <mergeCell ref="B239:D239"/>
    <mergeCell ref="E239:F239"/>
    <mergeCell ref="G239:J239"/>
    <mergeCell ref="B166:D166"/>
    <mergeCell ref="F166:G166"/>
    <mergeCell ref="I166:J166"/>
    <mergeCell ref="G116:H116"/>
    <mergeCell ref="I214:J214"/>
    <mergeCell ref="B215:D215"/>
    <mergeCell ref="G215:H215"/>
    <mergeCell ref="B218:D218"/>
    <mergeCell ref="G218:H218"/>
    <mergeCell ref="I218:J218"/>
    <mergeCell ref="I219:J219"/>
    <mergeCell ref="B219:D219"/>
    <mergeCell ref="G219:H219"/>
    <mergeCell ref="A226:J226"/>
    <mergeCell ref="B131:D131"/>
    <mergeCell ref="E131:F131"/>
    <mergeCell ref="I208:J208"/>
    <mergeCell ref="B209:D209"/>
    <mergeCell ref="E209:F209"/>
    <mergeCell ref="G209:H209"/>
    <mergeCell ref="I209:J209"/>
    <mergeCell ref="G211:H211"/>
    <mergeCell ref="I211:J211"/>
    <mergeCell ref="A212:J212"/>
    <mergeCell ref="A207:J207"/>
    <mergeCell ref="B208:D208"/>
    <mergeCell ref="E63:F63"/>
    <mergeCell ref="I63:J63"/>
    <mergeCell ref="B129:D129"/>
    <mergeCell ref="E129:F129"/>
    <mergeCell ref="E116:F116"/>
    <mergeCell ref="G206:J206"/>
    <mergeCell ref="E206:F206"/>
    <mergeCell ref="B206:D206"/>
    <mergeCell ref="B117:D117"/>
    <mergeCell ref="E117:F117"/>
    <mergeCell ref="G117:H117"/>
    <mergeCell ref="I117:J117"/>
    <mergeCell ref="B118:D118"/>
    <mergeCell ref="E118:F118"/>
    <mergeCell ref="G118:H118"/>
    <mergeCell ref="I118:J118"/>
    <mergeCell ref="A114:A115"/>
    <mergeCell ref="B114:C115"/>
    <mergeCell ref="E114:F114"/>
    <mergeCell ref="B214:D214"/>
    <mergeCell ref="E208:F208"/>
    <mergeCell ref="G208:H208"/>
    <mergeCell ref="A59:J59"/>
    <mergeCell ref="G129:H129"/>
    <mergeCell ref="I129:J129"/>
    <mergeCell ref="B130:D130"/>
    <mergeCell ref="E130:F130"/>
    <mergeCell ref="G130:H130"/>
    <mergeCell ref="I130:J130"/>
    <mergeCell ref="B77:F77"/>
    <mergeCell ref="G77:H77"/>
    <mergeCell ref="I77:J77"/>
    <mergeCell ref="B86:F86"/>
    <mergeCell ref="G86:H86"/>
    <mergeCell ref="I86:J86"/>
    <mergeCell ref="B79:F79"/>
    <mergeCell ref="G79:H79"/>
    <mergeCell ref="I79:J79"/>
    <mergeCell ref="B80:F80"/>
    <mergeCell ref="G80:H80"/>
    <mergeCell ref="B116:D116"/>
    <mergeCell ref="I116:J116"/>
    <mergeCell ref="B113:D113"/>
    <mergeCell ref="B213:D213"/>
    <mergeCell ref="E213:F213"/>
    <mergeCell ref="G213:H213"/>
    <mergeCell ref="I213:J213"/>
    <mergeCell ref="G131:H131"/>
    <mergeCell ref="I131:J131"/>
    <mergeCell ref="B132:D132"/>
    <mergeCell ref="E132:F132"/>
    <mergeCell ref="G132:H132"/>
    <mergeCell ref="I132:J132"/>
    <mergeCell ref="B210:D210"/>
    <mergeCell ref="E210:F210"/>
    <mergeCell ref="G210:H210"/>
    <mergeCell ref="I210:J210"/>
    <mergeCell ref="B211:D211"/>
    <mergeCell ref="E211:F211"/>
    <mergeCell ref="E202:F202"/>
    <mergeCell ref="E203:F203"/>
    <mergeCell ref="E204:F204"/>
    <mergeCell ref="B176:D176"/>
    <mergeCell ref="B193:D193"/>
    <mergeCell ref="B177:D177"/>
    <mergeCell ref="B178:D178"/>
    <mergeCell ref="B179:D179"/>
    <mergeCell ref="A229:J229"/>
    <mergeCell ref="B230:D230"/>
    <mergeCell ref="G230:H230"/>
    <mergeCell ref="I230:J230"/>
    <mergeCell ref="B231:D231"/>
    <mergeCell ref="G231:H231"/>
    <mergeCell ref="I231:J231"/>
    <mergeCell ref="B223:D223"/>
    <mergeCell ref="I215:J215"/>
    <mergeCell ref="B228:D228"/>
    <mergeCell ref="E228:F228"/>
    <mergeCell ref="G228:H228"/>
    <mergeCell ref="I228:J228"/>
    <mergeCell ref="B220:D220"/>
    <mergeCell ref="G220:H220"/>
    <mergeCell ref="G224:H224"/>
    <mergeCell ref="B232:D232"/>
    <mergeCell ref="G232:H232"/>
    <mergeCell ref="I232:J232"/>
    <mergeCell ref="D250:E250"/>
    <mergeCell ref="A254:B254"/>
    <mergeCell ref="D246:E246"/>
    <mergeCell ref="A247:C247"/>
    <mergeCell ref="D248:E248"/>
    <mergeCell ref="A249:C249"/>
    <mergeCell ref="B233:D233"/>
    <mergeCell ref="G233:H233"/>
    <mergeCell ref="I233:J233"/>
    <mergeCell ref="A245:C245"/>
    <mergeCell ref="B238:D238"/>
    <mergeCell ref="E238:F238"/>
    <mergeCell ref="A235:A236"/>
    <mergeCell ref="B235:D236"/>
    <mergeCell ref="E235:F236"/>
    <mergeCell ref="B237:D237"/>
    <mergeCell ref="E237:F237"/>
    <mergeCell ref="I241:J241"/>
    <mergeCell ref="I243:J243"/>
    <mergeCell ref="G235:J235"/>
    <mergeCell ref="G237:J237"/>
    <mergeCell ref="A234:J234"/>
    <mergeCell ref="B227:D227"/>
    <mergeCell ref="E227:F227"/>
    <mergeCell ref="G227:H227"/>
    <mergeCell ref="I227:J227"/>
    <mergeCell ref="I224:J224"/>
    <mergeCell ref="A225:J225"/>
    <mergeCell ref="B216:D216"/>
    <mergeCell ref="G216:H216"/>
    <mergeCell ref="I216:J216"/>
    <mergeCell ref="B217:D217"/>
    <mergeCell ref="G217:H217"/>
    <mergeCell ref="I217:J217"/>
    <mergeCell ref="I220:J220"/>
    <mergeCell ref="B221:D221"/>
    <mergeCell ref="G221:H221"/>
    <mergeCell ref="I221:J221"/>
    <mergeCell ref="B222:D222"/>
    <mergeCell ref="G222:H222"/>
    <mergeCell ref="I222:J222"/>
    <mergeCell ref="G223:H223"/>
    <mergeCell ref="I223:J223"/>
    <mergeCell ref="B224:D224"/>
    <mergeCell ref="E224:F224"/>
    <mergeCell ref="E214:F214"/>
    <mergeCell ref="G214:H214"/>
    <mergeCell ref="B191:D191"/>
    <mergeCell ref="E191:F191"/>
    <mergeCell ref="E192:F192"/>
    <mergeCell ref="E193:F193"/>
    <mergeCell ref="E194:F194"/>
    <mergeCell ref="B195:D195"/>
    <mergeCell ref="E195:F195"/>
    <mergeCell ref="B196:D196"/>
    <mergeCell ref="B205:D205"/>
    <mergeCell ref="E205:F205"/>
    <mergeCell ref="B198:D198"/>
    <mergeCell ref="B199:D199"/>
    <mergeCell ref="B200:D200"/>
    <mergeCell ref="B201:D201"/>
    <mergeCell ref="B203:D203"/>
    <mergeCell ref="B204:D204"/>
    <mergeCell ref="B192:D192"/>
    <mergeCell ref="B194:D194"/>
    <mergeCell ref="B202:D202"/>
    <mergeCell ref="B197:D197"/>
    <mergeCell ref="E196:F196"/>
    <mergeCell ref="E197:F197"/>
    <mergeCell ref="E198:F198"/>
    <mergeCell ref="E199:F199"/>
    <mergeCell ref="E200:F200"/>
    <mergeCell ref="E201:F201"/>
    <mergeCell ref="G176:J176"/>
    <mergeCell ref="G191:J191"/>
    <mergeCell ref="A188:J188"/>
    <mergeCell ref="A189:A190"/>
    <mergeCell ref="B189:D190"/>
    <mergeCell ref="E189:F190"/>
    <mergeCell ref="G189:J18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G187:J187"/>
    <mergeCell ref="F174:F175"/>
    <mergeCell ref="G174:J174"/>
    <mergeCell ref="B170:D170"/>
    <mergeCell ref="E170:F170"/>
    <mergeCell ref="G170:H170"/>
    <mergeCell ref="I170:J170"/>
    <mergeCell ref="B171:D171"/>
    <mergeCell ref="E171:F171"/>
    <mergeCell ref="G171:H171"/>
    <mergeCell ref="I171:J171"/>
    <mergeCell ref="B172:D172"/>
    <mergeCell ref="E172:F172"/>
    <mergeCell ref="G172:H172"/>
    <mergeCell ref="I172:J172"/>
    <mergeCell ref="A173:J173"/>
    <mergeCell ref="A174:A175"/>
    <mergeCell ref="B174:D175"/>
    <mergeCell ref="E174:E175"/>
    <mergeCell ref="B167:D167"/>
    <mergeCell ref="F167:G167"/>
    <mergeCell ref="I167:J167"/>
    <mergeCell ref="A168:J168"/>
    <mergeCell ref="B169:D169"/>
    <mergeCell ref="E169:F169"/>
    <mergeCell ref="G169:H169"/>
    <mergeCell ref="I169:J169"/>
    <mergeCell ref="B164:D164"/>
    <mergeCell ref="F164:G164"/>
    <mergeCell ref="I164:J164"/>
    <mergeCell ref="B165:D165"/>
    <mergeCell ref="F165:G165"/>
    <mergeCell ref="I165:J165"/>
    <mergeCell ref="B162:D162"/>
    <mergeCell ref="F162:G162"/>
    <mergeCell ref="I162:J162"/>
    <mergeCell ref="B163:D163"/>
    <mergeCell ref="F163:G163"/>
    <mergeCell ref="I163:J163"/>
    <mergeCell ref="B160:D160"/>
    <mergeCell ref="F160:G160"/>
    <mergeCell ref="I160:J160"/>
    <mergeCell ref="B161:D161"/>
    <mergeCell ref="F161:G161"/>
    <mergeCell ref="I161:J161"/>
    <mergeCell ref="B158:D158"/>
    <mergeCell ref="F158:G158"/>
    <mergeCell ref="I158:J158"/>
    <mergeCell ref="B159:D159"/>
    <mergeCell ref="F159:G159"/>
    <mergeCell ref="I159:J159"/>
    <mergeCell ref="B157:D157"/>
    <mergeCell ref="F157:G157"/>
    <mergeCell ref="I157:J157"/>
    <mergeCell ref="B155:D155"/>
    <mergeCell ref="F155:G155"/>
    <mergeCell ref="I155:J155"/>
    <mergeCell ref="B156:D156"/>
    <mergeCell ref="F156:G156"/>
    <mergeCell ref="I156:J156"/>
    <mergeCell ref="B153:D153"/>
    <mergeCell ref="F153:G153"/>
    <mergeCell ref="I153:J153"/>
    <mergeCell ref="B154:D154"/>
    <mergeCell ref="F154:G154"/>
    <mergeCell ref="I154:J154"/>
    <mergeCell ref="B150:D150"/>
    <mergeCell ref="E150:F150"/>
    <mergeCell ref="G150:H150"/>
    <mergeCell ref="I150:J150"/>
    <mergeCell ref="A151:J151"/>
    <mergeCell ref="B152:D152"/>
    <mergeCell ref="F152:G152"/>
    <mergeCell ref="I152:J152"/>
    <mergeCell ref="B148:D148"/>
    <mergeCell ref="E148:F148"/>
    <mergeCell ref="G148:H148"/>
    <mergeCell ref="I148:J148"/>
    <mergeCell ref="B149:D149"/>
    <mergeCell ref="E149:F149"/>
    <mergeCell ref="G149:H149"/>
    <mergeCell ref="I149:J149"/>
    <mergeCell ref="K119:L119"/>
    <mergeCell ref="B144:D144"/>
    <mergeCell ref="G144:H144"/>
    <mergeCell ref="I144:J144"/>
    <mergeCell ref="A146:J146"/>
    <mergeCell ref="B147:D147"/>
    <mergeCell ref="E147:F147"/>
    <mergeCell ref="G147:H147"/>
    <mergeCell ref="I147:J147"/>
    <mergeCell ref="B142:D142"/>
    <mergeCell ref="G142:H142"/>
    <mergeCell ref="I142:J142"/>
    <mergeCell ref="B140:D140"/>
    <mergeCell ref="G140:H140"/>
    <mergeCell ref="I140:J140"/>
    <mergeCell ref="B141:D141"/>
    <mergeCell ref="G141:H141"/>
    <mergeCell ref="I141:J141"/>
    <mergeCell ref="A133:J133"/>
    <mergeCell ref="A136:J136"/>
    <mergeCell ref="B137:D137"/>
    <mergeCell ref="G137:H137"/>
    <mergeCell ref="I137:J137"/>
    <mergeCell ref="B138:D138"/>
    <mergeCell ref="G138:H138"/>
    <mergeCell ref="I138:J138"/>
    <mergeCell ref="B139:D139"/>
    <mergeCell ref="G139:H139"/>
    <mergeCell ref="I139:J139"/>
    <mergeCell ref="B106:D106"/>
    <mergeCell ref="E106:F106"/>
    <mergeCell ref="G106:H106"/>
    <mergeCell ref="I106:J106"/>
    <mergeCell ref="B107:D107"/>
    <mergeCell ref="E107:F107"/>
    <mergeCell ref="G107:H107"/>
    <mergeCell ref="I107:J107"/>
    <mergeCell ref="B124:D124"/>
    <mergeCell ref="E124:F124"/>
    <mergeCell ref="G124:H124"/>
    <mergeCell ref="I124:J124"/>
    <mergeCell ref="G115:H115"/>
    <mergeCell ref="I115:J115"/>
    <mergeCell ref="G113:H113"/>
    <mergeCell ref="I113:J113"/>
    <mergeCell ref="E113:F113"/>
    <mergeCell ref="E104:F104"/>
    <mergeCell ref="G104:H104"/>
    <mergeCell ref="I104:J104"/>
    <mergeCell ref="K98:L98"/>
    <mergeCell ref="G89:H89"/>
    <mergeCell ref="B123:D123"/>
    <mergeCell ref="E123:F123"/>
    <mergeCell ref="G123:H123"/>
    <mergeCell ref="I123:J123"/>
    <mergeCell ref="A119:J119"/>
    <mergeCell ref="B122:D122"/>
    <mergeCell ref="E122:F122"/>
    <mergeCell ref="G122:H122"/>
    <mergeCell ref="I122:J122"/>
    <mergeCell ref="B108:D108"/>
    <mergeCell ref="E108:F108"/>
    <mergeCell ref="G108:H108"/>
    <mergeCell ref="I108:J108"/>
    <mergeCell ref="B104:D104"/>
    <mergeCell ref="B105:D105"/>
    <mergeCell ref="E105:F105"/>
    <mergeCell ref="G105:H105"/>
    <mergeCell ref="I105:J105"/>
    <mergeCell ref="G92:H92"/>
    <mergeCell ref="I92:J92"/>
    <mergeCell ref="B87:F87"/>
    <mergeCell ref="I75:J75"/>
    <mergeCell ref="B97:F97"/>
    <mergeCell ref="I97:J97"/>
    <mergeCell ref="I89:J89"/>
    <mergeCell ref="G76:H76"/>
    <mergeCell ref="I76:J76"/>
    <mergeCell ref="I84:J84"/>
    <mergeCell ref="B76:F76"/>
    <mergeCell ref="I85:J85"/>
    <mergeCell ref="B94:F94"/>
    <mergeCell ref="G94:H94"/>
    <mergeCell ref="I80:J80"/>
    <mergeCell ref="B84:F84"/>
    <mergeCell ref="G84:H84"/>
    <mergeCell ref="G87:H87"/>
    <mergeCell ref="I87:J87"/>
    <mergeCell ref="B89:F89"/>
    <mergeCell ref="A99:J99"/>
    <mergeCell ref="A100:J100"/>
    <mergeCell ref="B103:D103"/>
    <mergeCell ref="E103:F103"/>
    <mergeCell ref="G103:H103"/>
    <mergeCell ref="I103:J103"/>
    <mergeCell ref="B93:F93"/>
    <mergeCell ref="G93:H93"/>
    <mergeCell ref="I93:J93"/>
    <mergeCell ref="B65:D65"/>
    <mergeCell ref="E65:F65"/>
    <mergeCell ref="I65:J65"/>
    <mergeCell ref="B78:F78"/>
    <mergeCell ref="G78:H78"/>
    <mergeCell ref="I73:J73"/>
    <mergeCell ref="B71:D71"/>
    <mergeCell ref="E71:F71"/>
    <mergeCell ref="I71:J71"/>
    <mergeCell ref="B73:D73"/>
    <mergeCell ref="I78:J78"/>
    <mergeCell ref="E73:F73"/>
    <mergeCell ref="A74:J74"/>
    <mergeCell ref="B75:F75"/>
    <mergeCell ref="G75:H75"/>
    <mergeCell ref="A35:J35"/>
    <mergeCell ref="A14:J14"/>
    <mergeCell ref="A19:J19"/>
    <mergeCell ref="A52:B52"/>
    <mergeCell ref="A39:J39"/>
    <mergeCell ref="A50:I50"/>
    <mergeCell ref="I94:J94"/>
    <mergeCell ref="B98:F98"/>
    <mergeCell ref="G98:H98"/>
    <mergeCell ref="I98:J98"/>
    <mergeCell ref="B96:F96"/>
    <mergeCell ref="G96:H96"/>
    <mergeCell ref="I96:J96"/>
    <mergeCell ref="B82:F82"/>
    <mergeCell ref="G82:H82"/>
    <mergeCell ref="I82:J82"/>
    <mergeCell ref="B83:F83"/>
    <mergeCell ref="G83:H83"/>
    <mergeCell ref="I83:J83"/>
    <mergeCell ref="B90:F90"/>
    <mergeCell ref="G90:H90"/>
    <mergeCell ref="I90:J90"/>
    <mergeCell ref="B92:F92"/>
    <mergeCell ref="E56:F56"/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I9:I11"/>
    <mergeCell ref="J9:J11"/>
    <mergeCell ref="D10:D11"/>
    <mergeCell ref="E10:G10"/>
    <mergeCell ref="A13:J13"/>
    <mergeCell ref="A54:J54"/>
    <mergeCell ref="B57:D57"/>
    <mergeCell ref="E57:F57"/>
    <mergeCell ref="G57:H57"/>
    <mergeCell ref="I57:J57"/>
    <mergeCell ref="A58:B58"/>
    <mergeCell ref="B72:D72"/>
    <mergeCell ref="E72:F72"/>
    <mergeCell ref="I72:J72"/>
    <mergeCell ref="B55:D55"/>
    <mergeCell ref="E55:F55"/>
    <mergeCell ref="B60:D60"/>
    <mergeCell ref="E60:F60"/>
    <mergeCell ref="I60:J60"/>
    <mergeCell ref="B61:D61"/>
    <mergeCell ref="E61:F61"/>
    <mergeCell ref="I61:J61"/>
    <mergeCell ref="G55:H55"/>
    <mergeCell ref="I55:J55"/>
    <mergeCell ref="B56:D56"/>
    <mergeCell ref="G56:H56"/>
    <mergeCell ref="I56:J56"/>
    <mergeCell ref="A48:I48"/>
  </mergeCells>
  <printOptions horizontalCentered="1"/>
  <pageMargins left="0.78740157480314965" right="0" top="0.19685039370078741" bottom="0.19685039370078741" header="0.31496062992125984" footer="0.31496062992125984"/>
  <pageSetup paperSize="9" scale="69" fitToHeight="6" orientation="portrait" r:id="rId1"/>
  <rowBreaks count="4" manualBreakCount="4">
    <brk id="118" max="9" man="1"/>
    <brk id="150" max="9" man="1"/>
    <brk id="172" max="9" man="1"/>
    <brk id="22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view="pageBreakPreview" topLeftCell="A224" zoomScale="60" zoomScaleNormal="100" workbookViewId="0">
      <selection activeCell="K250" sqref="K250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3" width="9.140625" style="1"/>
    <col min="4" max="4" width="17.140625" style="1" customWidth="1"/>
    <col min="5" max="5" width="13.140625" style="1" customWidth="1"/>
    <col min="6" max="6" width="10.7109375" style="1" customWidth="1"/>
    <col min="7" max="7" width="12.28515625" style="1" customWidth="1"/>
    <col min="8" max="8" width="10.7109375" style="1" customWidth="1"/>
    <col min="9" max="9" width="11.5703125" style="1" customWidth="1"/>
    <col min="10" max="10" width="17.5703125" style="1" customWidth="1"/>
    <col min="11" max="11" width="16.42578125" style="1" customWidth="1"/>
    <col min="12" max="12" width="18.140625" style="1" customWidth="1"/>
    <col min="13" max="13" width="9.7109375" style="1" customWidth="1"/>
    <col min="14" max="14" width="14" style="1" customWidth="1"/>
    <col min="15" max="16384" width="9.140625" style="1"/>
  </cols>
  <sheetData>
    <row r="1" spans="1:11" ht="26.25" customHeight="1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34.5" customHeight="1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31.5" customHeight="1" x14ac:dyDescent="0.25">
      <c r="A3" s="432" t="s">
        <v>371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5.75" x14ac:dyDescent="0.25">
      <c r="A4" s="92"/>
      <c r="B4" s="93"/>
      <c r="C4" s="93"/>
      <c r="D4" s="94" t="s">
        <v>266</v>
      </c>
      <c r="E4" s="345">
        <v>2021</v>
      </c>
      <c r="F4" s="96" t="s">
        <v>647</v>
      </c>
      <c r="G4" s="93"/>
      <c r="H4" s="93"/>
      <c r="I4" s="93"/>
      <c r="J4" s="93"/>
    </row>
    <row r="5" spans="1:11" ht="15.75" x14ac:dyDescent="0.25">
      <c r="A5" s="433" t="s">
        <v>0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1" ht="19.5" customHeight="1" x14ac:dyDescent="0.25">
      <c r="A6" s="92" t="s">
        <v>80</v>
      </c>
      <c r="B6" s="93"/>
      <c r="C6" s="97">
        <v>111</v>
      </c>
      <c r="D6" s="97">
        <v>112</v>
      </c>
      <c r="E6" s="97">
        <v>119</v>
      </c>
      <c r="F6" s="98"/>
      <c r="G6" s="98"/>
      <c r="H6" s="98"/>
      <c r="I6" s="98"/>
      <c r="J6" s="98"/>
    </row>
    <row r="7" spans="1:11" ht="22.5" customHeight="1" x14ac:dyDescent="0.25">
      <c r="A7" s="92" t="s">
        <v>81</v>
      </c>
      <c r="B7" s="93"/>
      <c r="C7" s="93"/>
      <c r="D7" s="93"/>
      <c r="E7" s="99" t="s">
        <v>82</v>
      </c>
      <c r="F7" s="100"/>
      <c r="G7" s="99"/>
      <c r="H7" s="100"/>
      <c r="I7" s="100"/>
      <c r="J7" s="100"/>
    </row>
    <row r="8" spans="1:11" ht="21" customHeight="1" x14ac:dyDescent="0.25">
      <c r="A8" s="434" t="s">
        <v>351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1" x14ac:dyDescent="0.25">
      <c r="A9" s="435" t="s">
        <v>1</v>
      </c>
      <c r="B9" s="410" t="s">
        <v>2</v>
      </c>
      <c r="C9" s="410" t="s">
        <v>3</v>
      </c>
      <c r="D9" s="435" t="s">
        <v>4</v>
      </c>
      <c r="E9" s="435"/>
      <c r="F9" s="435"/>
      <c r="G9" s="435"/>
      <c r="H9" s="435" t="s">
        <v>5</v>
      </c>
      <c r="I9" s="410" t="s">
        <v>6</v>
      </c>
      <c r="J9" s="410" t="s">
        <v>316</v>
      </c>
    </row>
    <row r="10" spans="1:11" ht="33" customHeight="1" x14ac:dyDescent="0.25">
      <c r="A10" s="435"/>
      <c r="B10" s="410"/>
      <c r="C10" s="410"/>
      <c r="D10" s="410" t="s">
        <v>8</v>
      </c>
      <c r="E10" s="410" t="s">
        <v>9</v>
      </c>
      <c r="F10" s="410"/>
      <c r="G10" s="410"/>
      <c r="H10" s="435"/>
      <c r="I10" s="410"/>
      <c r="J10" s="410"/>
    </row>
    <row r="11" spans="1:11" ht="75" x14ac:dyDescent="0.25">
      <c r="A11" s="435"/>
      <c r="B11" s="410"/>
      <c r="C11" s="410"/>
      <c r="D11" s="410"/>
      <c r="E11" s="355" t="s">
        <v>10</v>
      </c>
      <c r="F11" s="355" t="s">
        <v>11</v>
      </c>
      <c r="G11" s="355" t="s">
        <v>12</v>
      </c>
      <c r="H11" s="435"/>
      <c r="I11" s="410"/>
      <c r="J11" s="410"/>
    </row>
    <row r="12" spans="1:11" ht="14.25" customHeight="1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>
        <v>10</v>
      </c>
    </row>
    <row r="13" spans="1:11" s="41" customFormat="1" x14ac:dyDescent="0.2">
      <c r="A13" s="409" t="s">
        <v>352</v>
      </c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1" s="41" customFormat="1" x14ac:dyDescent="0.2">
      <c r="A14" s="438" t="s">
        <v>319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1" ht="20.25" customHeight="1" x14ac:dyDescent="0.25">
      <c r="A15" s="354">
        <v>1</v>
      </c>
      <c r="B15" s="130" t="s">
        <v>261</v>
      </c>
      <c r="C15" s="354">
        <v>1</v>
      </c>
      <c r="D15" s="131">
        <f>E15+F15+G15</f>
        <v>29935.200000000001</v>
      </c>
      <c r="E15" s="131">
        <v>24946</v>
      </c>
      <c r="F15" s="131"/>
      <c r="G15" s="131">
        <v>4989.2</v>
      </c>
      <c r="H15" s="132">
        <v>50</v>
      </c>
      <c r="I15" s="354">
        <v>1.7</v>
      </c>
      <c r="J15" s="133">
        <f>((C15*D15*(H15/100+I15))*12)</f>
        <v>790289.28</v>
      </c>
      <c r="K15" s="150"/>
    </row>
    <row r="16" spans="1:11" ht="20.25" customHeight="1" x14ac:dyDescent="0.25">
      <c r="A16" s="354">
        <v>2</v>
      </c>
      <c r="B16" s="130" t="s">
        <v>514</v>
      </c>
      <c r="C16" s="354">
        <v>3</v>
      </c>
      <c r="D16" s="131">
        <f>E16+F16+G16</f>
        <v>25887.599999999999</v>
      </c>
      <c r="E16" s="131">
        <v>21573</v>
      </c>
      <c r="F16" s="131"/>
      <c r="G16" s="131">
        <v>4314.6000000000004</v>
      </c>
      <c r="H16" s="132">
        <v>50</v>
      </c>
      <c r="I16" s="354">
        <v>1.7</v>
      </c>
      <c r="J16" s="133">
        <f>((C16*D16*(H16/100+I16))*12)</f>
        <v>2050297.9199999997</v>
      </c>
    </row>
    <row r="17" spans="1:11" x14ac:dyDescent="0.25">
      <c r="A17" s="354">
        <v>3</v>
      </c>
      <c r="B17" s="130" t="s">
        <v>262</v>
      </c>
      <c r="C17" s="354">
        <v>1</v>
      </c>
      <c r="D17" s="131">
        <f t="shared" ref="D17:D46" si="0">E17+F17+G17</f>
        <v>25693.200000000001</v>
      </c>
      <c r="E17" s="131">
        <v>21411</v>
      </c>
      <c r="F17" s="131"/>
      <c r="G17" s="131">
        <v>4282.2</v>
      </c>
      <c r="H17" s="132">
        <v>50</v>
      </c>
      <c r="I17" s="354">
        <v>1.7</v>
      </c>
      <c r="J17" s="133">
        <f t="shared" ref="J17" si="1">((C17*D17*(H17/100+I17))*12)</f>
        <v>678300.4800000001</v>
      </c>
    </row>
    <row r="18" spans="1:11" x14ac:dyDescent="0.25">
      <c r="A18" s="134"/>
      <c r="B18" s="135" t="s">
        <v>320</v>
      </c>
      <c r="C18" s="136">
        <f>SUM(C15:C17)</f>
        <v>5</v>
      </c>
      <c r="D18" s="137">
        <f>SUM(D15:D17)</f>
        <v>81516</v>
      </c>
      <c r="E18" s="136" t="s">
        <v>14</v>
      </c>
      <c r="F18" s="136" t="s">
        <v>14</v>
      </c>
      <c r="G18" s="136" t="s">
        <v>14</v>
      </c>
      <c r="H18" s="136" t="s">
        <v>14</v>
      </c>
      <c r="I18" s="136" t="s">
        <v>14</v>
      </c>
      <c r="J18" s="137">
        <f>SUM(J15:J17)</f>
        <v>3518887.6799999997</v>
      </c>
      <c r="K18" s="151"/>
    </row>
    <row r="19" spans="1:11" x14ac:dyDescent="0.25">
      <c r="A19" s="436" t="s">
        <v>321</v>
      </c>
      <c r="B19" s="437"/>
      <c r="C19" s="437"/>
      <c r="D19" s="437"/>
      <c r="E19" s="437"/>
      <c r="F19" s="437"/>
      <c r="G19" s="437"/>
      <c r="H19" s="437"/>
      <c r="I19" s="437"/>
      <c r="J19" s="437"/>
    </row>
    <row r="20" spans="1:11" x14ac:dyDescent="0.25">
      <c r="A20" s="354">
        <v>4</v>
      </c>
      <c r="B20" s="130" t="s">
        <v>515</v>
      </c>
      <c r="C20" s="354">
        <v>6</v>
      </c>
      <c r="D20" s="131">
        <f>E20+F20+G20</f>
        <v>12409.2</v>
      </c>
      <c r="E20" s="149">
        <v>10341</v>
      </c>
      <c r="F20" s="131"/>
      <c r="G20" s="131">
        <f>E20*20%</f>
        <v>2068.2000000000003</v>
      </c>
      <c r="H20" s="132">
        <v>50</v>
      </c>
      <c r="I20" s="354">
        <v>1.7</v>
      </c>
      <c r="J20" s="153">
        <f>(C20*D20*(H20/100+I20))*12</f>
        <v>1965617.2800000003</v>
      </c>
      <c r="K20" s="147"/>
    </row>
    <row r="21" spans="1:11" x14ac:dyDescent="0.25">
      <c r="A21" s="354">
        <v>5</v>
      </c>
      <c r="B21" s="130" t="s">
        <v>516</v>
      </c>
      <c r="C21" s="354">
        <v>1</v>
      </c>
      <c r="D21" s="131">
        <f t="shared" si="0"/>
        <v>14373.6</v>
      </c>
      <c r="E21" s="149">
        <v>11978</v>
      </c>
      <c r="F21" s="131"/>
      <c r="G21" s="131">
        <f t="shared" ref="G21:G33" si="2">E21*20%</f>
        <v>2395.6</v>
      </c>
      <c r="H21" s="132">
        <v>50</v>
      </c>
      <c r="I21" s="354">
        <v>1.7</v>
      </c>
      <c r="J21" s="153">
        <f t="shared" ref="J21:J33" si="3">(C21*D21*(H21/100+I21))*12</f>
        <v>379463.04000000004</v>
      </c>
    </row>
    <row r="22" spans="1:11" x14ac:dyDescent="0.25">
      <c r="A22" s="354">
        <v>6</v>
      </c>
      <c r="B22" s="130" t="s">
        <v>373</v>
      </c>
      <c r="C22" s="354">
        <v>2</v>
      </c>
      <c r="D22" s="131">
        <f t="shared" si="0"/>
        <v>12248.4</v>
      </c>
      <c r="E22" s="149">
        <v>10207</v>
      </c>
      <c r="F22" s="131"/>
      <c r="G22" s="131">
        <f t="shared" si="2"/>
        <v>2041.4</v>
      </c>
      <c r="H22" s="132">
        <v>50</v>
      </c>
      <c r="I22" s="354">
        <v>1.7</v>
      </c>
      <c r="J22" s="153">
        <f t="shared" si="3"/>
        <v>646715.52</v>
      </c>
    </row>
    <row r="23" spans="1:11" x14ac:dyDescent="0.25">
      <c r="A23" s="354">
        <v>7</v>
      </c>
      <c r="B23" s="130" t="s">
        <v>373</v>
      </c>
      <c r="C23" s="354">
        <v>1.5</v>
      </c>
      <c r="D23" s="131">
        <f t="shared" si="0"/>
        <v>11432.4</v>
      </c>
      <c r="E23" s="149">
        <v>9527</v>
      </c>
      <c r="F23" s="131"/>
      <c r="G23" s="131">
        <f t="shared" si="2"/>
        <v>1905.4</v>
      </c>
      <c r="H23" s="132">
        <v>50</v>
      </c>
      <c r="I23" s="354">
        <v>1.7</v>
      </c>
      <c r="J23" s="153">
        <f t="shared" si="3"/>
        <v>452723.04</v>
      </c>
    </row>
    <row r="24" spans="1:11" ht="30" x14ac:dyDescent="0.25">
      <c r="A24" s="354">
        <v>8</v>
      </c>
      <c r="B24" s="130" t="s">
        <v>323</v>
      </c>
      <c r="C24" s="354">
        <v>1</v>
      </c>
      <c r="D24" s="131">
        <f t="shared" si="0"/>
        <v>12248.4</v>
      </c>
      <c r="E24" s="149">
        <v>10207</v>
      </c>
      <c r="F24" s="131"/>
      <c r="G24" s="131">
        <f t="shared" si="2"/>
        <v>2041.4</v>
      </c>
      <c r="H24" s="132">
        <v>50</v>
      </c>
      <c r="I24" s="354">
        <v>1.7</v>
      </c>
      <c r="J24" s="153">
        <f t="shared" si="3"/>
        <v>323357.76</v>
      </c>
    </row>
    <row r="25" spans="1:11" x14ac:dyDescent="0.25">
      <c r="A25" s="354">
        <v>9</v>
      </c>
      <c r="B25" s="130" t="s">
        <v>372</v>
      </c>
      <c r="C25" s="354">
        <v>0.5</v>
      </c>
      <c r="D25" s="131">
        <f t="shared" si="0"/>
        <v>12248.4</v>
      </c>
      <c r="E25" s="149">
        <v>10207</v>
      </c>
      <c r="F25" s="131"/>
      <c r="G25" s="131">
        <f t="shared" si="2"/>
        <v>2041.4</v>
      </c>
      <c r="H25" s="132">
        <v>50</v>
      </c>
      <c r="I25" s="354">
        <v>1.7</v>
      </c>
      <c r="J25" s="153">
        <f t="shared" si="3"/>
        <v>161678.88</v>
      </c>
      <c r="K25" s="89"/>
    </row>
    <row r="26" spans="1:11" hidden="1" x14ac:dyDescent="0.25">
      <c r="A26" s="354">
        <v>14</v>
      </c>
      <c r="B26" s="130" t="s">
        <v>322</v>
      </c>
      <c r="C26" s="354"/>
      <c r="D26" s="131">
        <f t="shared" si="0"/>
        <v>0</v>
      </c>
      <c r="E26" s="149"/>
      <c r="F26" s="131"/>
      <c r="G26" s="131">
        <f t="shared" si="2"/>
        <v>0</v>
      </c>
      <c r="H26" s="132">
        <v>50</v>
      </c>
      <c r="I26" s="354">
        <v>1.7</v>
      </c>
      <c r="J26" s="153">
        <f t="shared" si="3"/>
        <v>0</v>
      </c>
      <c r="K26" s="89"/>
    </row>
    <row r="27" spans="1:11" ht="30" x14ac:dyDescent="0.25">
      <c r="A27" s="354">
        <v>10</v>
      </c>
      <c r="B27" s="130" t="s">
        <v>517</v>
      </c>
      <c r="C27" s="354">
        <v>0.5</v>
      </c>
      <c r="D27" s="131">
        <f t="shared" si="0"/>
        <v>12248.4</v>
      </c>
      <c r="E27" s="149">
        <v>10207</v>
      </c>
      <c r="F27" s="131"/>
      <c r="G27" s="131">
        <f t="shared" si="2"/>
        <v>2041.4</v>
      </c>
      <c r="H27" s="132">
        <v>50</v>
      </c>
      <c r="I27" s="354">
        <v>1.7</v>
      </c>
      <c r="J27" s="153">
        <f t="shared" si="3"/>
        <v>161678.88</v>
      </c>
      <c r="K27" s="150"/>
    </row>
    <row r="28" spans="1:11" x14ac:dyDescent="0.25">
      <c r="A28" s="354">
        <v>11</v>
      </c>
      <c r="B28" s="130" t="s">
        <v>518</v>
      </c>
      <c r="C28" s="354">
        <v>1.5</v>
      </c>
      <c r="D28" s="131">
        <f t="shared" si="0"/>
        <v>12248.4</v>
      </c>
      <c r="E28" s="149">
        <v>10207</v>
      </c>
      <c r="F28" s="131"/>
      <c r="G28" s="131">
        <f t="shared" si="2"/>
        <v>2041.4</v>
      </c>
      <c r="H28" s="132">
        <v>50</v>
      </c>
      <c r="I28" s="354">
        <v>1.7</v>
      </c>
      <c r="J28" s="153">
        <f t="shared" si="3"/>
        <v>485036.64</v>
      </c>
    </row>
    <row r="29" spans="1:11" ht="30" x14ac:dyDescent="0.25">
      <c r="A29" s="354">
        <v>12</v>
      </c>
      <c r="B29" s="130" t="s">
        <v>519</v>
      </c>
      <c r="C29" s="354">
        <v>1</v>
      </c>
      <c r="D29" s="131">
        <f t="shared" si="0"/>
        <v>12248.4</v>
      </c>
      <c r="E29" s="149">
        <v>10207</v>
      </c>
      <c r="F29" s="131"/>
      <c r="G29" s="131">
        <f t="shared" si="2"/>
        <v>2041.4</v>
      </c>
      <c r="H29" s="132">
        <v>50</v>
      </c>
      <c r="I29" s="354">
        <v>1.7</v>
      </c>
      <c r="J29" s="153">
        <f t="shared" si="3"/>
        <v>323357.76</v>
      </c>
    </row>
    <row r="30" spans="1:11" x14ac:dyDescent="0.25">
      <c r="A30" s="354">
        <v>13</v>
      </c>
      <c r="B30" s="130" t="s">
        <v>520</v>
      </c>
      <c r="C30" s="354">
        <v>1</v>
      </c>
      <c r="D30" s="131">
        <f t="shared" si="0"/>
        <v>10615.2</v>
      </c>
      <c r="E30" s="149">
        <v>8846</v>
      </c>
      <c r="F30" s="131"/>
      <c r="G30" s="131">
        <f t="shared" si="2"/>
        <v>1769.2</v>
      </c>
      <c r="H30" s="132">
        <v>50</v>
      </c>
      <c r="I30" s="354">
        <v>1.7</v>
      </c>
      <c r="J30" s="153">
        <f t="shared" si="3"/>
        <v>280241.28000000003</v>
      </c>
    </row>
    <row r="31" spans="1:11" x14ac:dyDescent="0.25">
      <c r="A31" s="354">
        <v>14</v>
      </c>
      <c r="B31" s="130" t="s">
        <v>521</v>
      </c>
      <c r="C31" s="354">
        <v>1</v>
      </c>
      <c r="D31" s="131">
        <f>E31+F31+G31</f>
        <v>12248.4</v>
      </c>
      <c r="E31" s="149">
        <v>10207</v>
      </c>
      <c r="F31" s="131"/>
      <c r="G31" s="131">
        <f t="shared" si="2"/>
        <v>2041.4</v>
      </c>
      <c r="H31" s="132">
        <v>50</v>
      </c>
      <c r="I31" s="354">
        <v>1.7</v>
      </c>
      <c r="J31" s="153">
        <f t="shared" si="3"/>
        <v>323357.76</v>
      </c>
    </row>
    <row r="32" spans="1:11" ht="30" x14ac:dyDescent="0.25">
      <c r="A32" s="354">
        <v>15</v>
      </c>
      <c r="B32" s="130" t="s">
        <v>522</v>
      </c>
      <c r="C32" s="354">
        <v>10</v>
      </c>
      <c r="D32" s="131">
        <f t="shared" ref="D32:D33" si="4">E32+F32+G32</f>
        <v>12248.4</v>
      </c>
      <c r="E32" s="149">
        <v>10207</v>
      </c>
      <c r="F32" s="131"/>
      <c r="G32" s="131">
        <f t="shared" si="2"/>
        <v>2041.4</v>
      </c>
      <c r="H32" s="132">
        <v>50</v>
      </c>
      <c r="I32" s="354">
        <v>1.7</v>
      </c>
      <c r="J32" s="153">
        <f t="shared" si="3"/>
        <v>3233577.6000000006</v>
      </c>
    </row>
    <row r="33" spans="1:11" x14ac:dyDescent="0.25">
      <c r="A33" s="354">
        <v>16</v>
      </c>
      <c r="B33" s="130" t="s">
        <v>523</v>
      </c>
      <c r="C33" s="354">
        <v>2</v>
      </c>
      <c r="D33" s="131">
        <f t="shared" si="4"/>
        <v>12249.6</v>
      </c>
      <c r="E33" s="149">
        <v>10208</v>
      </c>
      <c r="F33" s="131"/>
      <c r="G33" s="131">
        <f t="shared" si="2"/>
        <v>2041.6000000000001</v>
      </c>
      <c r="H33" s="132">
        <v>50</v>
      </c>
      <c r="I33" s="354">
        <v>1.7</v>
      </c>
      <c r="J33" s="153">
        <f t="shared" si="3"/>
        <v>646778.88000000012</v>
      </c>
    </row>
    <row r="34" spans="1:11" x14ac:dyDescent="0.25">
      <c r="A34" s="134"/>
      <c r="B34" s="135" t="s">
        <v>324</v>
      </c>
      <c r="C34" s="136">
        <f>SUM(C20:C33)</f>
        <v>29</v>
      </c>
      <c r="D34" s="138">
        <f>SUM(D20:D31)</f>
        <v>134569.19999999998</v>
      </c>
      <c r="E34" s="136" t="s">
        <v>14</v>
      </c>
      <c r="F34" s="136" t="s">
        <v>14</v>
      </c>
      <c r="G34" s="136" t="s">
        <v>14</v>
      </c>
      <c r="H34" s="136" t="s">
        <v>14</v>
      </c>
      <c r="I34" s="136" t="s">
        <v>14</v>
      </c>
      <c r="J34" s="138">
        <f>SUM(J20:J33)</f>
        <v>9383584.3200000022</v>
      </c>
    </row>
    <row r="35" spans="1:11" x14ac:dyDescent="0.25">
      <c r="A35" s="436" t="s">
        <v>325</v>
      </c>
      <c r="B35" s="437"/>
      <c r="C35" s="437"/>
      <c r="D35" s="437"/>
      <c r="E35" s="437"/>
      <c r="F35" s="437"/>
      <c r="G35" s="437"/>
      <c r="H35" s="437"/>
      <c r="I35" s="437"/>
      <c r="J35" s="437"/>
    </row>
    <row r="36" spans="1:11" x14ac:dyDescent="0.25">
      <c r="A36" s="354">
        <v>17</v>
      </c>
      <c r="B36" s="130" t="s">
        <v>524</v>
      </c>
      <c r="C36" s="354">
        <v>0.5</v>
      </c>
      <c r="D36" s="131">
        <f t="shared" si="0"/>
        <v>10615.2</v>
      </c>
      <c r="E36" s="149">
        <v>8846</v>
      </c>
      <c r="F36" s="131"/>
      <c r="G36" s="131">
        <f>E36*20%</f>
        <v>1769.2</v>
      </c>
      <c r="H36" s="132">
        <v>50</v>
      </c>
      <c r="I36" s="354">
        <v>1.7</v>
      </c>
      <c r="J36" s="133">
        <f t="shared" ref="J36:J37" si="5">(C36*D36*(H36/100+I36))*12</f>
        <v>140120.64000000001</v>
      </c>
      <c r="K36" s="150"/>
    </row>
    <row r="37" spans="1:11" x14ac:dyDescent="0.25">
      <c r="A37" s="354">
        <v>18</v>
      </c>
      <c r="B37" s="130" t="s">
        <v>326</v>
      </c>
      <c r="C37" s="354">
        <v>0.5</v>
      </c>
      <c r="D37" s="131">
        <f t="shared" si="0"/>
        <v>12248.4</v>
      </c>
      <c r="E37" s="149">
        <v>10207</v>
      </c>
      <c r="F37" s="131"/>
      <c r="G37" s="131">
        <f>E37*20%</f>
        <v>2041.4</v>
      </c>
      <c r="H37" s="132">
        <v>50</v>
      </c>
      <c r="I37" s="354">
        <v>1.7</v>
      </c>
      <c r="J37" s="133">
        <f t="shared" si="5"/>
        <v>161678.88</v>
      </c>
    </row>
    <row r="38" spans="1:11" x14ac:dyDescent="0.25">
      <c r="A38" s="134"/>
      <c r="B38" s="135" t="s">
        <v>327</v>
      </c>
      <c r="C38" s="136">
        <f>SUM(C36:C37)</f>
        <v>1</v>
      </c>
      <c r="D38" s="138">
        <f>SUM(D36:D37)</f>
        <v>22863.599999999999</v>
      </c>
      <c r="E38" s="136" t="s">
        <v>14</v>
      </c>
      <c r="F38" s="136" t="s">
        <v>14</v>
      </c>
      <c r="G38" s="136" t="s">
        <v>14</v>
      </c>
      <c r="H38" s="136" t="s">
        <v>14</v>
      </c>
      <c r="I38" s="136" t="s">
        <v>14</v>
      </c>
      <c r="J38" s="139">
        <f>SUM(J36:J37)</f>
        <v>301799.52</v>
      </c>
    </row>
    <row r="39" spans="1:11" x14ac:dyDescent="0.25">
      <c r="A39" s="436" t="s">
        <v>328</v>
      </c>
      <c r="B39" s="439"/>
      <c r="C39" s="439"/>
      <c r="D39" s="439"/>
      <c r="E39" s="439"/>
      <c r="F39" s="439"/>
      <c r="G39" s="439"/>
      <c r="H39" s="439"/>
      <c r="I39" s="439"/>
      <c r="J39" s="439"/>
    </row>
    <row r="40" spans="1:11" x14ac:dyDescent="0.25">
      <c r="A40" s="354">
        <v>19</v>
      </c>
      <c r="B40" s="130" t="s">
        <v>525</v>
      </c>
      <c r="C40" s="354">
        <v>1.5</v>
      </c>
      <c r="D40" s="131">
        <f t="shared" si="0"/>
        <v>11472</v>
      </c>
      <c r="E40" s="149">
        <v>9560</v>
      </c>
      <c r="F40" s="131"/>
      <c r="G40" s="131">
        <f>E40*20%</f>
        <v>1912</v>
      </c>
      <c r="H40" s="132">
        <v>50</v>
      </c>
      <c r="I40" s="354">
        <v>1.7</v>
      </c>
      <c r="J40" s="133">
        <f>((C40*D40*(H40/100+I40))*12)</f>
        <v>454291.20000000007</v>
      </c>
      <c r="K40" s="150"/>
    </row>
    <row r="41" spans="1:11" x14ac:dyDescent="0.25">
      <c r="A41" s="354">
        <v>20</v>
      </c>
      <c r="B41" s="130" t="s">
        <v>526</v>
      </c>
      <c r="C41" s="354">
        <v>5.8</v>
      </c>
      <c r="D41" s="131">
        <f>E41+F41+G41</f>
        <v>11472</v>
      </c>
      <c r="E41" s="149">
        <v>9560</v>
      </c>
      <c r="F41" s="131"/>
      <c r="G41" s="131">
        <f t="shared" ref="G41:G46" si="6">E41*20%</f>
        <v>1912</v>
      </c>
      <c r="H41" s="132">
        <v>50</v>
      </c>
      <c r="I41" s="354">
        <v>1.7</v>
      </c>
      <c r="J41" s="133">
        <f t="shared" ref="J41:J46" si="7">((C41*D41*(H41/100+I41))*12)</f>
        <v>1756592.6400000001</v>
      </c>
      <c r="K41" s="150"/>
    </row>
    <row r="42" spans="1:11" x14ac:dyDescent="0.25">
      <c r="A42" s="354">
        <v>21</v>
      </c>
      <c r="B42" s="130" t="s">
        <v>527</v>
      </c>
      <c r="C42" s="354">
        <v>2</v>
      </c>
      <c r="D42" s="131">
        <f t="shared" si="0"/>
        <v>11640</v>
      </c>
      <c r="E42" s="149">
        <v>9700</v>
      </c>
      <c r="F42" s="131"/>
      <c r="G42" s="131">
        <f t="shared" si="6"/>
        <v>1940</v>
      </c>
      <c r="H42" s="132">
        <v>50</v>
      </c>
      <c r="I42" s="354">
        <v>1.7</v>
      </c>
      <c r="J42" s="133">
        <f t="shared" si="7"/>
        <v>614592.00000000012</v>
      </c>
    </row>
    <row r="43" spans="1:11" x14ac:dyDescent="0.25">
      <c r="A43" s="354">
        <v>22</v>
      </c>
      <c r="B43" s="130" t="s">
        <v>528</v>
      </c>
      <c r="C43" s="354">
        <v>3</v>
      </c>
      <c r="D43" s="131">
        <f t="shared" si="0"/>
        <v>11472</v>
      </c>
      <c r="E43" s="149">
        <v>9560</v>
      </c>
      <c r="F43" s="131"/>
      <c r="G43" s="131">
        <f t="shared" si="6"/>
        <v>1912</v>
      </c>
      <c r="H43" s="132">
        <v>50</v>
      </c>
      <c r="I43" s="354">
        <v>1.7</v>
      </c>
      <c r="J43" s="133">
        <f t="shared" si="7"/>
        <v>908582.40000000014</v>
      </c>
    </row>
    <row r="44" spans="1:11" x14ac:dyDescent="0.25">
      <c r="A44" s="354">
        <v>23</v>
      </c>
      <c r="B44" s="130" t="s">
        <v>329</v>
      </c>
      <c r="C44" s="354">
        <v>1</v>
      </c>
      <c r="D44" s="131">
        <f t="shared" si="0"/>
        <v>11758.8</v>
      </c>
      <c r="E44" s="149">
        <v>9799</v>
      </c>
      <c r="F44" s="131"/>
      <c r="G44" s="131">
        <f t="shared" si="6"/>
        <v>1959.8000000000002</v>
      </c>
      <c r="H44" s="132">
        <v>50</v>
      </c>
      <c r="I44" s="354">
        <v>1.7</v>
      </c>
      <c r="J44" s="133">
        <f t="shared" si="7"/>
        <v>310432.32</v>
      </c>
    </row>
    <row r="45" spans="1:11" x14ac:dyDescent="0.25">
      <c r="A45" s="354">
        <v>24</v>
      </c>
      <c r="B45" s="130" t="s">
        <v>529</v>
      </c>
      <c r="C45" s="354">
        <v>0.5</v>
      </c>
      <c r="D45" s="131">
        <f t="shared" si="0"/>
        <v>11758.8</v>
      </c>
      <c r="E45" s="149">
        <v>9799</v>
      </c>
      <c r="F45" s="131"/>
      <c r="G45" s="131">
        <f t="shared" si="6"/>
        <v>1959.8000000000002</v>
      </c>
      <c r="H45" s="132">
        <v>50</v>
      </c>
      <c r="I45" s="354">
        <v>1.7</v>
      </c>
      <c r="J45" s="133">
        <f t="shared" si="7"/>
        <v>155216.16</v>
      </c>
    </row>
    <row r="46" spans="1:11" x14ac:dyDescent="0.25">
      <c r="A46" s="354">
        <v>25</v>
      </c>
      <c r="B46" s="130" t="s">
        <v>530</v>
      </c>
      <c r="C46" s="354">
        <v>0.5</v>
      </c>
      <c r="D46" s="131">
        <f t="shared" si="0"/>
        <v>11472</v>
      </c>
      <c r="E46" s="149">
        <v>9560</v>
      </c>
      <c r="F46" s="131"/>
      <c r="G46" s="131">
        <f t="shared" si="6"/>
        <v>1912</v>
      </c>
      <c r="H46" s="132">
        <v>50</v>
      </c>
      <c r="I46" s="354">
        <v>1.7</v>
      </c>
      <c r="J46" s="133">
        <f t="shared" si="7"/>
        <v>151430.40000000002</v>
      </c>
    </row>
    <row r="47" spans="1:11" x14ac:dyDescent="0.25">
      <c r="A47" s="134"/>
      <c r="B47" s="135" t="s">
        <v>317</v>
      </c>
      <c r="C47" s="136">
        <f>SUM(C40:C46)</f>
        <v>14.3</v>
      </c>
      <c r="D47" s="138">
        <f>SUM(D40:D46)</f>
        <v>81045.600000000006</v>
      </c>
      <c r="E47" s="136" t="s">
        <v>14</v>
      </c>
      <c r="F47" s="136" t="s">
        <v>14</v>
      </c>
      <c r="G47" s="136" t="s">
        <v>14</v>
      </c>
      <c r="H47" s="136" t="s">
        <v>14</v>
      </c>
      <c r="I47" s="136" t="s">
        <v>14</v>
      </c>
      <c r="J47" s="139">
        <f>SUM(J40:J46)</f>
        <v>4351137.12</v>
      </c>
      <c r="K47" s="151"/>
    </row>
    <row r="48" spans="1:11" ht="30" customHeight="1" x14ac:dyDescent="0.25">
      <c r="A48" s="429" t="s">
        <v>336</v>
      </c>
      <c r="B48" s="430"/>
      <c r="C48" s="430"/>
      <c r="D48" s="430"/>
      <c r="E48" s="430"/>
      <c r="F48" s="430"/>
      <c r="G48" s="430"/>
      <c r="H48" s="430"/>
      <c r="I48" s="431"/>
      <c r="J48" s="202">
        <f>(J18+J34+J38+J47)*10%+485579.3</f>
        <v>2241120.1639999999</v>
      </c>
      <c r="K48" s="151"/>
    </row>
    <row r="49" spans="1:12" s="41" customFormat="1" x14ac:dyDescent="0.2">
      <c r="A49" s="441" t="s">
        <v>531</v>
      </c>
      <c r="B49" s="442"/>
      <c r="C49" s="442"/>
      <c r="D49" s="442"/>
      <c r="E49" s="442"/>
      <c r="F49" s="442"/>
      <c r="G49" s="442"/>
      <c r="H49" s="442"/>
      <c r="I49" s="442"/>
      <c r="J49" s="141">
        <f>2282471.2+2000000</f>
        <v>4282471.2</v>
      </c>
    </row>
    <row r="50" spans="1:12" s="41" customFormat="1" x14ac:dyDescent="0.2">
      <c r="A50" s="441" t="s">
        <v>318</v>
      </c>
      <c r="B50" s="442"/>
      <c r="C50" s="442"/>
      <c r="D50" s="442"/>
      <c r="E50" s="442"/>
      <c r="F50" s="442"/>
      <c r="G50" s="442"/>
      <c r="H50" s="442"/>
      <c r="I50" s="442"/>
      <c r="J50" s="141">
        <v>262000</v>
      </c>
    </row>
    <row r="51" spans="1:12" s="41" customFormat="1" x14ac:dyDescent="0.2">
      <c r="A51" s="441" t="s">
        <v>532</v>
      </c>
      <c r="B51" s="442"/>
      <c r="C51" s="442"/>
      <c r="D51" s="442"/>
      <c r="E51" s="442"/>
      <c r="F51" s="442"/>
      <c r="G51" s="442"/>
      <c r="H51" s="442"/>
      <c r="I51" s="442"/>
      <c r="J51" s="141">
        <v>49000</v>
      </c>
    </row>
    <row r="52" spans="1:12" x14ac:dyDescent="0.25">
      <c r="A52" s="440" t="s">
        <v>576</v>
      </c>
      <c r="B52" s="440"/>
      <c r="C52" s="90">
        <f>C18+C34+C38+C47</f>
        <v>49.3</v>
      </c>
      <c r="D52" s="91">
        <f>D18+D34+D38+D47</f>
        <v>319994.40000000002</v>
      </c>
      <c r="E52" s="90" t="s">
        <v>14</v>
      </c>
      <c r="F52" s="90" t="s">
        <v>14</v>
      </c>
      <c r="G52" s="90" t="s">
        <v>14</v>
      </c>
      <c r="H52" s="90" t="s">
        <v>14</v>
      </c>
      <c r="I52" s="90" t="s">
        <v>14</v>
      </c>
      <c r="J52" s="203">
        <f>J18+J34+J38+J47+J48+J49+J50</f>
        <v>24341000.004000001</v>
      </c>
      <c r="K52" s="89"/>
      <c r="L52" s="89"/>
    </row>
    <row r="53" spans="1:12" x14ac:dyDescent="0.25">
      <c r="A53" s="440" t="s">
        <v>577</v>
      </c>
      <c r="B53" s="440"/>
      <c r="C53" s="90">
        <f>C19+C35+C39+C48</f>
        <v>0</v>
      </c>
      <c r="D53" s="91">
        <f>D19+D35+D39+D48</f>
        <v>0</v>
      </c>
      <c r="E53" s="90" t="s">
        <v>14</v>
      </c>
      <c r="F53" s="90" t="s">
        <v>14</v>
      </c>
      <c r="G53" s="90" t="s">
        <v>14</v>
      </c>
      <c r="H53" s="90" t="s">
        <v>14</v>
      </c>
      <c r="I53" s="90" t="s">
        <v>14</v>
      </c>
      <c r="J53" s="203">
        <f>J51</f>
        <v>49000</v>
      </c>
      <c r="K53" s="89"/>
      <c r="L53" s="89"/>
    </row>
    <row r="54" spans="1:12" ht="20.25" customHeight="1" x14ac:dyDescent="0.25">
      <c r="A54" s="411" t="s">
        <v>353</v>
      </c>
      <c r="B54" s="412"/>
      <c r="C54" s="412"/>
      <c r="D54" s="412"/>
      <c r="E54" s="412"/>
      <c r="F54" s="412"/>
      <c r="G54" s="412"/>
      <c r="H54" s="412"/>
      <c r="I54" s="412"/>
      <c r="J54" s="413"/>
    </row>
    <row r="55" spans="1:12" ht="30" customHeight="1" x14ac:dyDescent="0.25">
      <c r="A55" s="356" t="s">
        <v>1</v>
      </c>
      <c r="B55" s="427" t="s">
        <v>44</v>
      </c>
      <c r="C55" s="427"/>
      <c r="D55" s="427"/>
      <c r="E55" s="427" t="s">
        <v>45</v>
      </c>
      <c r="F55" s="427"/>
      <c r="G55" s="427" t="s">
        <v>46</v>
      </c>
      <c r="H55" s="427"/>
      <c r="I55" s="427" t="s">
        <v>102</v>
      </c>
      <c r="J55" s="427"/>
    </row>
    <row r="56" spans="1:12" ht="16.5" customHeight="1" x14ac:dyDescent="0.25">
      <c r="A56" s="348">
        <v>1</v>
      </c>
      <c r="B56" s="428">
        <v>2</v>
      </c>
      <c r="C56" s="428"/>
      <c r="D56" s="428"/>
      <c r="E56" s="428">
        <v>3</v>
      </c>
      <c r="F56" s="428"/>
      <c r="G56" s="428">
        <v>4</v>
      </c>
      <c r="H56" s="428"/>
      <c r="I56" s="428">
        <v>5</v>
      </c>
      <c r="J56" s="428"/>
    </row>
    <row r="57" spans="1:12" ht="47.25" customHeight="1" x14ac:dyDescent="0.25">
      <c r="A57" s="213">
        <v>1</v>
      </c>
      <c r="B57" s="414" t="s">
        <v>513</v>
      </c>
      <c r="C57" s="415"/>
      <c r="D57" s="416"/>
      <c r="E57" s="417">
        <v>2500</v>
      </c>
      <c r="F57" s="417"/>
      <c r="G57" s="418">
        <v>16</v>
      </c>
      <c r="H57" s="418"/>
      <c r="I57" s="419">
        <f>E57*G57</f>
        <v>40000</v>
      </c>
      <c r="J57" s="419"/>
    </row>
    <row r="58" spans="1:12" ht="33.75" customHeight="1" x14ac:dyDescent="0.25">
      <c r="A58" s="420" t="s">
        <v>575</v>
      </c>
      <c r="B58" s="420"/>
      <c r="C58" s="142">
        <f>C52</f>
        <v>49.3</v>
      </c>
      <c r="D58" s="143">
        <f>D52</f>
        <v>319994.40000000002</v>
      </c>
      <c r="E58" s="144" t="s">
        <v>14</v>
      </c>
      <c r="F58" s="144" t="s">
        <v>14</v>
      </c>
      <c r="G58" s="144" t="s">
        <v>14</v>
      </c>
      <c r="H58" s="144" t="s">
        <v>14</v>
      </c>
      <c r="I58" s="144" t="s">
        <v>14</v>
      </c>
      <c r="J58" s="145">
        <f>J52+I57</f>
        <v>24381000.004000001</v>
      </c>
    </row>
    <row r="59" spans="1:12" s="41" customFormat="1" ht="40.5" customHeight="1" x14ac:dyDescent="0.25">
      <c r="A59" s="484" t="s">
        <v>354</v>
      </c>
      <c r="B59" s="484"/>
      <c r="C59" s="484"/>
      <c r="D59" s="484"/>
      <c r="E59" s="484"/>
      <c r="F59" s="484"/>
      <c r="G59" s="484"/>
      <c r="H59" s="484"/>
      <c r="I59" s="484"/>
      <c r="J59" s="484"/>
    </row>
    <row r="60" spans="1:12" ht="38.25" x14ac:dyDescent="0.25">
      <c r="A60" s="348" t="s">
        <v>1</v>
      </c>
      <c r="B60" s="428" t="s">
        <v>15</v>
      </c>
      <c r="C60" s="428"/>
      <c r="D60" s="428"/>
      <c r="E60" s="428" t="s">
        <v>16</v>
      </c>
      <c r="F60" s="428"/>
      <c r="G60" s="348" t="s">
        <v>17</v>
      </c>
      <c r="H60" s="348" t="s">
        <v>18</v>
      </c>
      <c r="I60" s="428" t="s">
        <v>104</v>
      </c>
      <c r="J60" s="428"/>
    </row>
    <row r="61" spans="1:12" x14ac:dyDescent="0.25">
      <c r="A61" s="348">
        <v>1</v>
      </c>
      <c r="B61" s="428">
        <v>2</v>
      </c>
      <c r="C61" s="428"/>
      <c r="D61" s="428"/>
      <c r="E61" s="428">
        <v>3</v>
      </c>
      <c r="F61" s="428"/>
      <c r="G61" s="348">
        <v>4</v>
      </c>
      <c r="H61" s="348">
        <v>5</v>
      </c>
      <c r="I61" s="428">
        <v>6</v>
      </c>
      <c r="J61" s="428"/>
    </row>
    <row r="62" spans="1:12" ht="16.5" customHeight="1" x14ac:dyDescent="0.25">
      <c r="A62" s="411" t="s">
        <v>355</v>
      </c>
      <c r="B62" s="412"/>
      <c r="C62" s="412"/>
      <c r="D62" s="412"/>
      <c r="E62" s="412"/>
      <c r="F62" s="412"/>
      <c r="G62" s="412"/>
      <c r="H62" s="412"/>
      <c r="I62" s="412"/>
      <c r="J62" s="413"/>
    </row>
    <row r="63" spans="1:12" ht="48.75" customHeight="1" x14ac:dyDescent="0.25">
      <c r="A63" s="347" t="s">
        <v>70</v>
      </c>
      <c r="B63" s="599" t="s">
        <v>356</v>
      </c>
      <c r="C63" s="600"/>
      <c r="D63" s="601"/>
      <c r="E63" s="570"/>
      <c r="F63" s="571"/>
      <c r="G63" s="347"/>
      <c r="H63" s="347"/>
      <c r="I63" s="572">
        <f>E63*G63*H63</f>
        <v>0</v>
      </c>
      <c r="J63" s="572"/>
    </row>
    <row r="64" spans="1:12" ht="15" customHeight="1" x14ac:dyDescent="0.25">
      <c r="A64" s="411" t="s">
        <v>357</v>
      </c>
      <c r="B64" s="412"/>
      <c r="C64" s="412"/>
      <c r="D64" s="412"/>
      <c r="E64" s="412"/>
      <c r="F64" s="412"/>
      <c r="G64" s="412"/>
      <c r="H64" s="412"/>
      <c r="I64" s="412"/>
      <c r="J64" s="413"/>
    </row>
    <row r="65" spans="1:10" ht="48.75" customHeight="1" x14ac:dyDescent="0.25">
      <c r="A65" s="347" t="s">
        <v>70</v>
      </c>
      <c r="B65" s="467" t="s">
        <v>69</v>
      </c>
      <c r="C65" s="468"/>
      <c r="D65" s="469"/>
      <c r="E65" s="470">
        <f>(22300+15600)/2</f>
        <v>18950</v>
      </c>
      <c r="F65" s="470"/>
      <c r="G65" s="152">
        <v>57</v>
      </c>
      <c r="H65" s="217"/>
      <c r="I65" s="471">
        <f>E65*G65-7750</f>
        <v>1072400</v>
      </c>
      <c r="J65" s="471"/>
    </row>
    <row r="66" spans="1:10" x14ac:dyDescent="0.25">
      <c r="A66" s="411" t="s">
        <v>358</v>
      </c>
      <c r="B66" s="412"/>
      <c r="C66" s="412"/>
      <c r="D66" s="412"/>
      <c r="E66" s="412"/>
      <c r="F66" s="412"/>
      <c r="G66" s="412"/>
      <c r="H66" s="412"/>
      <c r="I66" s="412"/>
      <c r="J66" s="413"/>
    </row>
    <row r="67" spans="1:10" ht="35.25" customHeight="1" x14ac:dyDescent="0.25">
      <c r="A67" s="218" t="s">
        <v>75</v>
      </c>
      <c r="B67" s="594" t="s">
        <v>359</v>
      </c>
      <c r="C67" s="595"/>
      <c r="D67" s="596"/>
      <c r="E67" s="597"/>
      <c r="F67" s="597"/>
      <c r="G67" s="218"/>
      <c r="H67" s="218"/>
      <c r="I67" s="598"/>
      <c r="J67" s="598"/>
    </row>
    <row r="68" spans="1:10" x14ac:dyDescent="0.25">
      <c r="A68" s="347"/>
      <c r="B68" s="535" t="s">
        <v>13</v>
      </c>
      <c r="C68" s="535"/>
      <c r="D68" s="535"/>
      <c r="E68" s="418" t="s">
        <v>14</v>
      </c>
      <c r="F68" s="418"/>
      <c r="G68" s="347" t="s">
        <v>14</v>
      </c>
      <c r="H68" s="347" t="s">
        <v>14</v>
      </c>
      <c r="I68" s="477">
        <f>I63+I65+I67</f>
        <v>1072400</v>
      </c>
      <c r="J68" s="477"/>
    </row>
    <row r="69" spans="1:10" ht="19.5" customHeight="1" x14ac:dyDescent="0.25">
      <c r="A69" s="489" t="s">
        <v>360</v>
      </c>
      <c r="B69" s="489"/>
      <c r="C69" s="489"/>
      <c r="D69" s="489"/>
      <c r="E69" s="489"/>
      <c r="F69" s="489"/>
      <c r="G69" s="489"/>
      <c r="H69" s="489"/>
      <c r="I69" s="489"/>
      <c r="J69" s="489"/>
    </row>
    <row r="70" spans="1:10" ht="51" x14ac:dyDescent="0.25">
      <c r="A70" s="348" t="s">
        <v>1</v>
      </c>
      <c r="B70" s="428" t="s">
        <v>15</v>
      </c>
      <c r="C70" s="428"/>
      <c r="D70" s="428"/>
      <c r="E70" s="479" t="s">
        <v>20</v>
      </c>
      <c r="F70" s="480"/>
      <c r="G70" s="348" t="s">
        <v>21</v>
      </c>
      <c r="H70" s="348" t="s">
        <v>22</v>
      </c>
      <c r="I70" s="428" t="s">
        <v>19</v>
      </c>
      <c r="J70" s="428"/>
    </row>
    <row r="71" spans="1:10" x14ac:dyDescent="0.25">
      <c r="A71" s="348">
        <v>1</v>
      </c>
      <c r="B71" s="428">
        <v>2</v>
      </c>
      <c r="C71" s="428"/>
      <c r="D71" s="428"/>
      <c r="E71" s="479">
        <v>3</v>
      </c>
      <c r="F71" s="480"/>
      <c r="G71" s="348">
        <v>4</v>
      </c>
      <c r="H71" s="348">
        <v>5</v>
      </c>
      <c r="I71" s="428">
        <v>6</v>
      </c>
      <c r="J71" s="428"/>
    </row>
    <row r="72" spans="1:10" ht="47.25" customHeight="1" x14ac:dyDescent="0.25">
      <c r="A72" s="354" t="s">
        <v>70</v>
      </c>
      <c r="B72" s="421" t="s">
        <v>79</v>
      </c>
      <c r="C72" s="422"/>
      <c r="D72" s="423"/>
      <c r="E72" s="424">
        <v>2</v>
      </c>
      <c r="F72" s="425"/>
      <c r="G72" s="220">
        <v>12</v>
      </c>
      <c r="H72" s="220">
        <v>85</v>
      </c>
      <c r="I72" s="426">
        <f>E72*G72*H72-40</f>
        <v>2000</v>
      </c>
      <c r="J72" s="426"/>
    </row>
    <row r="73" spans="1:10" ht="17.25" customHeight="1" x14ac:dyDescent="0.25">
      <c r="A73" s="219"/>
      <c r="B73" s="481" t="s">
        <v>13</v>
      </c>
      <c r="C73" s="481"/>
      <c r="D73" s="481"/>
      <c r="E73" s="482" t="s">
        <v>14</v>
      </c>
      <c r="F73" s="483"/>
      <c r="G73" s="347" t="s">
        <v>14</v>
      </c>
      <c r="H73" s="347" t="s">
        <v>14</v>
      </c>
      <c r="I73" s="477">
        <f>SUM(I72)</f>
        <v>2000</v>
      </c>
      <c r="J73" s="478"/>
    </row>
    <row r="74" spans="1:10" s="41" customFormat="1" ht="54" customHeight="1" x14ac:dyDescent="0.25">
      <c r="A74" s="484" t="s">
        <v>298</v>
      </c>
      <c r="B74" s="484"/>
      <c r="C74" s="484"/>
      <c r="D74" s="484"/>
      <c r="E74" s="484"/>
      <c r="F74" s="484"/>
      <c r="G74" s="484"/>
      <c r="H74" s="484"/>
      <c r="I74" s="484"/>
      <c r="J74" s="484"/>
    </row>
    <row r="75" spans="1:10" ht="36" customHeight="1" x14ac:dyDescent="0.25">
      <c r="A75" s="198" t="s">
        <v>1</v>
      </c>
      <c r="B75" s="485" t="s">
        <v>23</v>
      </c>
      <c r="C75" s="486"/>
      <c r="D75" s="486"/>
      <c r="E75" s="486"/>
      <c r="F75" s="487"/>
      <c r="G75" s="485" t="s">
        <v>24</v>
      </c>
      <c r="H75" s="487"/>
      <c r="I75" s="485" t="s">
        <v>25</v>
      </c>
      <c r="J75" s="487"/>
    </row>
    <row r="76" spans="1:10" ht="11.25" customHeight="1" x14ac:dyDescent="0.25">
      <c r="A76" s="341">
        <v>1</v>
      </c>
      <c r="B76" s="490">
        <v>2</v>
      </c>
      <c r="C76" s="491"/>
      <c r="D76" s="491"/>
      <c r="E76" s="491"/>
      <c r="F76" s="492"/>
      <c r="G76" s="490">
        <v>3</v>
      </c>
      <c r="H76" s="492"/>
      <c r="I76" s="490">
        <v>4</v>
      </c>
      <c r="J76" s="492"/>
    </row>
    <row r="77" spans="1:10" ht="20.25" customHeight="1" x14ac:dyDescent="0.25">
      <c r="A77" s="350" t="s">
        <v>70</v>
      </c>
      <c r="B77" s="472" t="s">
        <v>533</v>
      </c>
      <c r="C77" s="473"/>
      <c r="D77" s="473"/>
      <c r="E77" s="473"/>
      <c r="F77" s="474"/>
      <c r="G77" s="475" t="s">
        <v>14</v>
      </c>
      <c r="H77" s="476"/>
      <c r="I77" s="443">
        <f>I80</f>
        <v>5360038</v>
      </c>
      <c r="J77" s="444"/>
    </row>
    <row r="78" spans="1:10" ht="20.25" customHeight="1" x14ac:dyDescent="0.25">
      <c r="A78" s="350" t="s">
        <v>70</v>
      </c>
      <c r="B78" s="472" t="s">
        <v>534</v>
      </c>
      <c r="C78" s="473"/>
      <c r="D78" s="473"/>
      <c r="E78" s="473"/>
      <c r="F78" s="474"/>
      <c r="G78" s="475" t="s">
        <v>14</v>
      </c>
      <c r="H78" s="476"/>
      <c r="I78" s="443">
        <f>I81</f>
        <v>11182</v>
      </c>
      <c r="J78" s="444"/>
    </row>
    <row r="79" spans="1:10" ht="18" customHeight="1" x14ac:dyDescent="0.25">
      <c r="A79" s="102"/>
      <c r="B79" s="496" t="s">
        <v>9</v>
      </c>
      <c r="C79" s="504"/>
      <c r="D79" s="504"/>
      <c r="E79" s="504"/>
      <c r="F79" s="497"/>
      <c r="G79" s="458"/>
      <c r="H79" s="459"/>
      <c r="I79" s="460"/>
      <c r="J79" s="461"/>
    </row>
    <row r="80" spans="1:10" s="41" customFormat="1" ht="20.25" customHeight="1" x14ac:dyDescent="0.25">
      <c r="A80" s="343" t="s">
        <v>27</v>
      </c>
      <c r="B80" s="566" t="s">
        <v>535</v>
      </c>
      <c r="C80" s="567"/>
      <c r="D80" s="567"/>
      <c r="E80" s="567"/>
      <c r="F80" s="568"/>
      <c r="G80" s="465">
        <v>24341000</v>
      </c>
      <c r="H80" s="466"/>
      <c r="I80" s="460">
        <f>G80*22%-10982+16000</f>
        <v>5360038</v>
      </c>
      <c r="J80" s="461"/>
    </row>
    <row r="81" spans="1:12" s="41" customFormat="1" ht="20.25" customHeight="1" x14ac:dyDescent="0.25">
      <c r="A81" s="343" t="s">
        <v>27</v>
      </c>
      <c r="B81" s="566" t="s">
        <v>536</v>
      </c>
      <c r="C81" s="567"/>
      <c r="D81" s="567"/>
      <c r="E81" s="567"/>
      <c r="F81" s="568"/>
      <c r="G81" s="465">
        <v>49000</v>
      </c>
      <c r="H81" s="466"/>
      <c r="I81" s="460">
        <f>G81*22%+500-98</f>
        <v>11182</v>
      </c>
      <c r="J81" s="461"/>
    </row>
    <row r="82" spans="1:12" x14ac:dyDescent="0.25">
      <c r="A82" s="343" t="s">
        <v>29</v>
      </c>
      <c r="B82" s="455" t="s">
        <v>30</v>
      </c>
      <c r="C82" s="456"/>
      <c r="D82" s="456"/>
      <c r="E82" s="456"/>
      <c r="F82" s="457"/>
      <c r="G82" s="458"/>
      <c r="H82" s="459"/>
      <c r="I82" s="460"/>
      <c r="J82" s="461"/>
    </row>
    <row r="83" spans="1:12" ht="15" customHeight="1" x14ac:dyDescent="0.25">
      <c r="A83" s="343" t="s">
        <v>31</v>
      </c>
      <c r="B83" s="462" t="s">
        <v>32</v>
      </c>
      <c r="C83" s="463"/>
      <c r="D83" s="463"/>
      <c r="E83" s="463"/>
      <c r="F83" s="464"/>
      <c r="G83" s="458"/>
      <c r="H83" s="459"/>
      <c r="I83" s="460"/>
      <c r="J83" s="461"/>
    </row>
    <row r="84" spans="1:12" ht="29.25" customHeight="1" x14ac:dyDescent="0.25">
      <c r="A84" s="350" t="s">
        <v>75</v>
      </c>
      <c r="B84" s="472" t="s">
        <v>537</v>
      </c>
      <c r="C84" s="473"/>
      <c r="D84" s="473"/>
      <c r="E84" s="473"/>
      <c r="F84" s="474"/>
      <c r="G84" s="475" t="s">
        <v>14</v>
      </c>
      <c r="H84" s="476"/>
      <c r="I84" s="443">
        <f>I87+I90</f>
        <v>754571</v>
      </c>
      <c r="J84" s="444"/>
    </row>
    <row r="85" spans="1:12" ht="30" customHeight="1" x14ac:dyDescent="0.25">
      <c r="A85" s="350" t="s">
        <v>75</v>
      </c>
      <c r="B85" s="472" t="s">
        <v>538</v>
      </c>
      <c r="C85" s="473"/>
      <c r="D85" s="473"/>
      <c r="E85" s="473"/>
      <c r="F85" s="474"/>
      <c r="G85" s="475" t="s">
        <v>14</v>
      </c>
      <c r="H85" s="476"/>
      <c r="I85" s="443">
        <f>I88+I91</f>
        <v>1519</v>
      </c>
      <c r="J85" s="444"/>
    </row>
    <row r="86" spans="1:12" ht="15" customHeight="1" x14ac:dyDescent="0.25">
      <c r="A86" s="102"/>
      <c r="B86" s="496" t="s">
        <v>9</v>
      </c>
      <c r="C86" s="504"/>
      <c r="D86" s="504"/>
      <c r="E86" s="504"/>
      <c r="F86" s="497"/>
      <c r="G86" s="458"/>
      <c r="H86" s="459"/>
      <c r="I86" s="460"/>
      <c r="J86" s="461"/>
    </row>
    <row r="87" spans="1:12" ht="32.25" customHeight="1" x14ac:dyDescent="0.25">
      <c r="A87" s="343" t="s">
        <v>34</v>
      </c>
      <c r="B87" s="462" t="s">
        <v>539</v>
      </c>
      <c r="C87" s="463"/>
      <c r="D87" s="463"/>
      <c r="E87" s="463"/>
      <c r="F87" s="464"/>
      <c r="G87" s="465">
        <f>G80</f>
        <v>24341000</v>
      </c>
      <c r="H87" s="466"/>
      <c r="I87" s="460">
        <f>G87*2.9%</f>
        <v>705889</v>
      </c>
      <c r="J87" s="461"/>
    </row>
    <row r="88" spans="1:12" ht="32.25" customHeight="1" x14ac:dyDescent="0.25">
      <c r="A88" s="343" t="s">
        <v>34</v>
      </c>
      <c r="B88" s="462" t="s">
        <v>540</v>
      </c>
      <c r="C88" s="463"/>
      <c r="D88" s="463"/>
      <c r="E88" s="463"/>
      <c r="F88" s="464"/>
      <c r="G88" s="465">
        <f>G81</f>
        <v>49000</v>
      </c>
      <c r="H88" s="466"/>
      <c r="I88" s="460">
        <f>G88*2.9%</f>
        <v>1421</v>
      </c>
      <c r="J88" s="461"/>
    </row>
    <row r="89" spans="1:12" ht="30.75" customHeight="1" x14ac:dyDescent="0.25">
      <c r="A89" s="343" t="s">
        <v>36</v>
      </c>
      <c r="B89" s="462" t="s">
        <v>37</v>
      </c>
      <c r="C89" s="463"/>
      <c r="D89" s="463"/>
      <c r="E89" s="463"/>
      <c r="F89" s="464"/>
      <c r="G89" s="458"/>
      <c r="H89" s="459"/>
      <c r="I89" s="460"/>
      <c r="J89" s="461"/>
    </row>
    <row r="90" spans="1:12" ht="34.5" customHeight="1" x14ac:dyDescent="0.25">
      <c r="A90" s="343" t="s">
        <v>38</v>
      </c>
      <c r="B90" s="462" t="s">
        <v>541</v>
      </c>
      <c r="C90" s="463"/>
      <c r="D90" s="463"/>
      <c r="E90" s="463"/>
      <c r="F90" s="464"/>
      <c r="G90" s="465">
        <f>G80</f>
        <v>24341000</v>
      </c>
      <c r="H90" s="466"/>
      <c r="I90" s="460">
        <f>G90*0.2%</f>
        <v>48682</v>
      </c>
      <c r="J90" s="461"/>
    </row>
    <row r="91" spans="1:12" ht="34.5" customHeight="1" x14ac:dyDescent="0.25">
      <c r="A91" s="343" t="s">
        <v>38</v>
      </c>
      <c r="B91" s="462" t="s">
        <v>542</v>
      </c>
      <c r="C91" s="463"/>
      <c r="D91" s="463"/>
      <c r="E91" s="463"/>
      <c r="F91" s="464"/>
      <c r="G91" s="465">
        <f>G81</f>
        <v>49000</v>
      </c>
      <c r="H91" s="466"/>
      <c r="I91" s="460">
        <f>G91*0.2%</f>
        <v>98</v>
      </c>
      <c r="J91" s="461"/>
    </row>
    <row r="92" spans="1:12" s="41" customFormat="1" ht="29.25" customHeight="1" x14ac:dyDescent="0.25">
      <c r="A92" s="343" t="s">
        <v>40</v>
      </c>
      <c r="B92" s="462" t="s">
        <v>41</v>
      </c>
      <c r="C92" s="463"/>
      <c r="D92" s="463"/>
      <c r="E92" s="463"/>
      <c r="F92" s="464"/>
      <c r="G92" s="458"/>
      <c r="H92" s="459"/>
      <c r="I92" s="460"/>
      <c r="J92" s="461"/>
    </row>
    <row r="93" spans="1:12" ht="30.75" customHeight="1" x14ac:dyDescent="0.25">
      <c r="A93" s="343" t="s">
        <v>42</v>
      </c>
      <c r="B93" s="462" t="s">
        <v>41</v>
      </c>
      <c r="C93" s="463"/>
      <c r="D93" s="463"/>
      <c r="E93" s="463"/>
      <c r="F93" s="464"/>
      <c r="G93" s="458"/>
      <c r="H93" s="459"/>
      <c r="I93" s="460"/>
      <c r="J93" s="461"/>
    </row>
    <row r="94" spans="1:12" ht="32.25" customHeight="1" x14ac:dyDescent="0.25">
      <c r="A94" s="350" t="s">
        <v>77</v>
      </c>
      <c r="B94" s="472" t="s">
        <v>543</v>
      </c>
      <c r="C94" s="473"/>
      <c r="D94" s="473"/>
      <c r="E94" s="473"/>
      <c r="F94" s="474"/>
      <c r="G94" s="493">
        <f>G80</f>
        <v>24341000</v>
      </c>
      <c r="H94" s="494"/>
      <c r="I94" s="443">
        <f>G94*5.1%</f>
        <v>1241391</v>
      </c>
      <c r="J94" s="444"/>
    </row>
    <row r="95" spans="1:12" ht="32.25" customHeight="1" x14ac:dyDescent="0.25">
      <c r="A95" s="350" t="s">
        <v>77</v>
      </c>
      <c r="B95" s="472" t="s">
        <v>544</v>
      </c>
      <c r="C95" s="473"/>
      <c r="D95" s="473"/>
      <c r="E95" s="473"/>
      <c r="F95" s="474"/>
      <c r="G95" s="493">
        <f>G81</f>
        <v>49000</v>
      </c>
      <c r="H95" s="494"/>
      <c r="I95" s="443">
        <f>G95*5.1%</f>
        <v>2499</v>
      </c>
      <c r="J95" s="444"/>
    </row>
    <row r="96" spans="1:12" x14ac:dyDescent="0.25">
      <c r="A96" s="343"/>
      <c r="B96" s="448" t="s">
        <v>332</v>
      </c>
      <c r="C96" s="449"/>
      <c r="D96" s="449"/>
      <c r="E96" s="449"/>
      <c r="F96" s="450"/>
      <c r="G96" s="451" t="s">
        <v>14</v>
      </c>
      <c r="H96" s="452"/>
      <c r="I96" s="453">
        <f>I77+I84+I94</f>
        <v>7356000</v>
      </c>
      <c r="J96" s="454"/>
      <c r="L96" s="1">
        <f>7371200-15200-7340000</f>
        <v>16000</v>
      </c>
    </row>
    <row r="97" spans="1:12" x14ac:dyDescent="0.25">
      <c r="A97" s="343"/>
      <c r="B97" s="448" t="s">
        <v>379</v>
      </c>
      <c r="C97" s="449"/>
      <c r="D97" s="449"/>
      <c r="E97" s="449"/>
      <c r="F97" s="450"/>
      <c r="G97" s="451" t="s">
        <v>14</v>
      </c>
      <c r="H97" s="452"/>
      <c r="I97" s="453">
        <f>I78+I85+I95</f>
        <v>15200</v>
      </c>
      <c r="J97" s="454"/>
    </row>
    <row r="98" spans="1:12" s="41" customFormat="1" ht="19.5" customHeight="1" x14ac:dyDescent="0.25">
      <c r="A98" s="113"/>
      <c r="B98" s="445" t="s">
        <v>512</v>
      </c>
      <c r="C98" s="445"/>
      <c r="D98" s="445"/>
      <c r="E98" s="445"/>
      <c r="F98" s="445"/>
      <c r="G98" s="446" t="s">
        <v>14</v>
      </c>
      <c r="H98" s="446"/>
      <c r="I98" s="447">
        <f>I96+I97</f>
        <v>7371200</v>
      </c>
      <c r="J98" s="447"/>
      <c r="K98" s="495"/>
      <c r="L98" s="495"/>
    </row>
    <row r="99" spans="1:12" s="41" customFormat="1" ht="38.25" customHeight="1" x14ac:dyDescent="0.2">
      <c r="A99" s="488" t="s">
        <v>502</v>
      </c>
      <c r="B99" s="488"/>
      <c r="C99" s="488"/>
      <c r="D99" s="488"/>
      <c r="E99" s="488"/>
      <c r="F99" s="488"/>
      <c r="G99" s="488"/>
      <c r="H99" s="488"/>
      <c r="I99" s="488"/>
      <c r="J99" s="488"/>
    </row>
    <row r="100" spans="1:12" ht="19.5" customHeight="1" x14ac:dyDescent="0.25">
      <c r="A100" s="489" t="s">
        <v>378</v>
      </c>
      <c r="B100" s="489"/>
      <c r="C100" s="489"/>
      <c r="D100" s="489"/>
      <c r="E100" s="489"/>
      <c r="F100" s="489"/>
      <c r="G100" s="489"/>
      <c r="H100" s="489"/>
      <c r="I100" s="489"/>
      <c r="J100" s="489"/>
      <c r="K100" s="11"/>
      <c r="L100" s="11"/>
    </row>
    <row r="101" spans="1:12" ht="15" customHeight="1" x14ac:dyDescent="0.25">
      <c r="A101" s="92" t="s">
        <v>80</v>
      </c>
      <c r="B101" s="93"/>
      <c r="C101" s="97">
        <v>321</v>
      </c>
      <c r="D101" s="97"/>
      <c r="E101" s="97"/>
      <c r="F101" s="98"/>
      <c r="G101" s="98"/>
      <c r="H101" s="98"/>
      <c r="I101" s="98"/>
      <c r="J101" s="98"/>
      <c r="K101" s="11"/>
      <c r="L101" s="11"/>
    </row>
    <row r="102" spans="1:12" ht="16.5" customHeight="1" x14ac:dyDescent="0.25">
      <c r="A102" s="92" t="s">
        <v>81</v>
      </c>
      <c r="B102" s="93"/>
      <c r="C102" s="93"/>
      <c r="D102" s="93"/>
      <c r="E102" s="99"/>
      <c r="F102" s="100"/>
      <c r="G102" s="100"/>
      <c r="H102" s="100"/>
      <c r="I102" s="100"/>
      <c r="J102" s="100"/>
      <c r="K102" s="11"/>
      <c r="L102" s="11"/>
    </row>
    <row r="103" spans="1:12" ht="36" customHeight="1" x14ac:dyDescent="0.25">
      <c r="A103" s="341" t="s">
        <v>1</v>
      </c>
      <c r="B103" s="490" t="s">
        <v>44</v>
      </c>
      <c r="C103" s="491"/>
      <c r="D103" s="492"/>
      <c r="E103" s="490" t="s">
        <v>45</v>
      </c>
      <c r="F103" s="492"/>
      <c r="G103" s="490" t="s">
        <v>46</v>
      </c>
      <c r="H103" s="492"/>
      <c r="I103" s="490" t="s">
        <v>102</v>
      </c>
      <c r="J103" s="492"/>
      <c r="K103" s="11"/>
      <c r="L103" s="11"/>
    </row>
    <row r="104" spans="1:12" ht="16.5" customHeight="1" x14ac:dyDescent="0.25">
      <c r="A104" s="341">
        <v>1</v>
      </c>
      <c r="B104" s="490">
        <v>2</v>
      </c>
      <c r="C104" s="491"/>
      <c r="D104" s="492"/>
      <c r="E104" s="490">
        <v>3</v>
      </c>
      <c r="F104" s="492"/>
      <c r="G104" s="490">
        <v>4</v>
      </c>
      <c r="H104" s="492"/>
      <c r="I104" s="490">
        <v>5</v>
      </c>
      <c r="J104" s="492"/>
      <c r="K104" s="11"/>
      <c r="L104" s="11"/>
    </row>
    <row r="105" spans="1:12" ht="89.25" hidden="1" customHeight="1" x14ac:dyDescent="0.25">
      <c r="A105" s="355" t="s">
        <v>70</v>
      </c>
      <c r="B105" s="455" t="s">
        <v>363</v>
      </c>
      <c r="C105" s="456"/>
      <c r="D105" s="457"/>
      <c r="E105" s="496"/>
      <c r="F105" s="497"/>
      <c r="G105" s="496"/>
      <c r="H105" s="497"/>
      <c r="I105" s="496"/>
      <c r="J105" s="497"/>
    </row>
    <row r="106" spans="1:12" ht="28.5" hidden="1" customHeight="1" x14ac:dyDescent="0.25">
      <c r="A106" s="343" t="s">
        <v>75</v>
      </c>
      <c r="B106" s="455" t="s">
        <v>362</v>
      </c>
      <c r="C106" s="456"/>
      <c r="D106" s="457"/>
      <c r="E106" s="496"/>
      <c r="F106" s="497"/>
      <c r="G106" s="496"/>
      <c r="H106" s="497"/>
      <c r="I106" s="496"/>
      <c r="J106" s="497"/>
    </row>
    <row r="107" spans="1:12" ht="28.5" customHeight="1" x14ac:dyDescent="0.25">
      <c r="A107" s="343"/>
      <c r="B107" s="421" t="s">
        <v>377</v>
      </c>
      <c r="C107" s="422"/>
      <c r="D107" s="423"/>
      <c r="E107" s="496"/>
      <c r="F107" s="503"/>
      <c r="G107" s="496"/>
      <c r="H107" s="503"/>
      <c r="I107" s="496"/>
      <c r="J107" s="503"/>
    </row>
    <row r="108" spans="1:12" x14ac:dyDescent="0.25">
      <c r="A108" s="344"/>
      <c r="B108" s="448" t="s">
        <v>13</v>
      </c>
      <c r="C108" s="449"/>
      <c r="D108" s="450"/>
      <c r="E108" s="451" t="s">
        <v>14</v>
      </c>
      <c r="F108" s="452"/>
      <c r="G108" s="451" t="s">
        <v>14</v>
      </c>
      <c r="H108" s="452"/>
      <c r="I108" s="451">
        <f>SUM(I107)</f>
        <v>0</v>
      </c>
      <c r="J108" s="452"/>
    </row>
    <row r="109" spans="1:12" s="41" customFormat="1" ht="21" customHeight="1" x14ac:dyDescent="0.25">
      <c r="A109" s="489" t="s">
        <v>364</v>
      </c>
      <c r="B109" s="489"/>
      <c r="C109" s="489"/>
      <c r="D109" s="489"/>
      <c r="E109" s="489"/>
      <c r="F109" s="489"/>
      <c r="G109" s="489"/>
      <c r="H109" s="489"/>
      <c r="I109" s="489"/>
      <c r="J109" s="489"/>
    </row>
    <row r="110" spans="1:12" s="41" customFormat="1" ht="21" customHeight="1" x14ac:dyDescent="0.25">
      <c r="A110" s="92" t="s">
        <v>80</v>
      </c>
      <c r="B110" s="93"/>
      <c r="C110" s="97">
        <v>851</v>
      </c>
      <c r="D110" s="97">
        <v>852</v>
      </c>
      <c r="E110" s="97">
        <v>853</v>
      </c>
      <c r="F110" s="98"/>
      <c r="G110" s="98"/>
      <c r="H110" s="98"/>
      <c r="I110" s="98"/>
      <c r="J110" s="98"/>
      <c r="K110" s="42"/>
      <c r="L110" s="43"/>
    </row>
    <row r="111" spans="1:12" s="41" customFormat="1" ht="15.75" x14ac:dyDescent="0.25">
      <c r="A111" s="92" t="s">
        <v>81</v>
      </c>
      <c r="B111" s="93"/>
      <c r="C111" s="93"/>
      <c r="D111" s="93"/>
      <c r="E111" s="99"/>
      <c r="F111" s="100"/>
      <c r="G111" s="100"/>
      <c r="H111" s="100"/>
      <c r="I111" s="100"/>
      <c r="J111" s="100"/>
    </row>
    <row r="112" spans="1:12" ht="39.75" customHeight="1" x14ac:dyDescent="0.25">
      <c r="A112" s="341" t="s">
        <v>1</v>
      </c>
      <c r="B112" s="402" t="s">
        <v>15</v>
      </c>
      <c r="C112" s="402"/>
      <c r="D112" s="402"/>
      <c r="E112" s="402" t="s">
        <v>47</v>
      </c>
      <c r="F112" s="402"/>
      <c r="G112" s="402" t="s">
        <v>48</v>
      </c>
      <c r="H112" s="402"/>
      <c r="I112" s="402" t="s">
        <v>103</v>
      </c>
      <c r="J112" s="402"/>
    </row>
    <row r="113" spans="1:12" ht="15" customHeight="1" x14ac:dyDescent="0.25">
      <c r="A113" s="341">
        <v>1</v>
      </c>
      <c r="B113" s="402">
        <v>2</v>
      </c>
      <c r="C113" s="402"/>
      <c r="D113" s="402"/>
      <c r="E113" s="402">
        <v>3</v>
      </c>
      <c r="F113" s="402"/>
      <c r="G113" s="402">
        <v>4</v>
      </c>
      <c r="H113" s="402"/>
      <c r="I113" s="402">
        <v>5</v>
      </c>
      <c r="J113" s="402"/>
    </row>
    <row r="114" spans="1:12" ht="20.25" customHeight="1" x14ac:dyDescent="0.25">
      <c r="A114" s="581" t="s">
        <v>70</v>
      </c>
      <c r="B114" s="583" t="s">
        <v>299</v>
      </c>
      <c r="C114" s="584"/>
      <c r="D114" s="352" t="s">
        <v>346</v>
      </c>
      <c r="E114" s="585">
        <v>116105919</v>
      </c>
      <c r="F114" s="585"/>
      <c r="G114" s="505">
        <v>2.1999999999999999E-2</v>
      </c>
      <c r="H114" s="505"/>
      <c r="I114" s="506">
        <f>E114*G114/4</f>
        <v>638582.55449999997</v>
      </c>
      <c r="J114" s="506"/>
    </row>
    <row r="115" spans="1:12" ht="17.25" customHeight="1" x14ac:dyDescent="0.25">
      <c r="A115" s="582"/>
      <c r="B115" s="584"/>
      <c r="C115" s="584"/>
      <c r="D115" s="353" t="s">
        <v>347</v>
      </c>
      <c r="E115" s="585">
        <v>116105919</v>
      </c>
      <c r="F115" s="585"/>
      <c r="G115" s="505">
        <v>2.1999999999999999E-2</v>
      </c>
      <c r="H115" s="505"/>
      <c r="I115" s="506">
        <f>E115*G115/4*3-4330.22</f>
        <v>1911417.4434999998</v>
      </c>
      <c r="J115" s="506"/>
    </row>
    <row r="116" spans="1:12" ht="18" hidden="1" customHeight="1" x14ac:dyDescent="0.25">
      <c r="A116" s="343" t="s">
        <v>75</v>
      </c>
      <c r="B116" s="455" t="s">
        <v>301</v>
      </c>
      <c r="C116" s="456"/>
      <c r="D116" s="457"/>
      <c r="E116" s="515"/>
      <c r="F116" s="515"/>
      <c r="G116" s="515"/>
      <c r="H116" s="515"/>
      <c r="I116" s="506">
        <f t="shared" ref="I116:I117" si="8">E116*G116/100</f>
        <v>0</v>
      </c>
      <c r="J116" s="506"/>
    </row>
    <row r="117" spans="1:12" ht="31.5" hidden="1" customHeight="1" x14ac:dyDescent="0.25">
      <c r="A117" s="343" t="s">
        <v>77</v>
      </c>
      <c r="B117" s="455" t="s">
        <v>302</v>
      </c>
      <c r="C117" s="456"/>
      <c r="D117" s="457"/>
      <c r="E117" s="515"/>
      <c r="F117" s="515"/>
      <c r="G117" s="515"/>
      <c r="H117" s="515"/>
      <c r="I117" s="506">
        <f t="shared" si="8"/>
        <v>0</v>
      </c>
      <c r="J117" s="506"/>
    </row>
    <row r="118" spans="1:12" ht="15.75" customHeight="1" x14ac:dyDescent="0.25">
      <c r="A118" s="344"/>
      <c r="B118" s="507" t="s">
        <v>13</v>
      </c>
      <c r="C118" s="507"/>
      <c r="D118" s="507"/>
      <c r="E118" s="508" t="s">
        <v>74</v>
      </c>
      <c r="F118" s="508"/>
      <c r="G118" s="508" t="s">
        <v>14</v>
      </c>
      <c r="H118" s="508"/>
      <c r="I118" s="509">
        <f>I114+I115+I116+I117</f>
        <v>2549999.9979999997</v>
      </c>
      <c r="J118" s="508"/>
    </row>
    <row r="119" spans="1:12" ht="27" customHeight="1" x14ac:dyDescent="0.25">
      <c r="A119" s="489" t="s">
        <v>85</v>
      </c>
      <c r="B119" s="489"/>
      <c r="C119" s="489"/>
      <c r="D119" s="489"/>
      <c r="E119" s="489"/>
      <c r="F119" s="489"/>
      <c r="G119" s="489"/>
      <c r="H119" s="489"/>
      <c r="I119" s="489"/>
      <c r="J119" s="489"/>
      <c r="K119" s="495"/>
      <c r="L119" s="495"/>
    </row>
    <row r="120" spans="1:12" s="41" customFormat="1" ht="15.75" customHeight="1" x14ac:dyDescent="0.25">
      <c r="A120" s="92" t="s">
        <v>80</v>
      </c>
      <c r="B120" s="93"/>
      <c r="C120" s="97"/>
      <c r="D120" s="97"/>
      <c r="E120" s="97"/>
      <c r="F120" s="98"/>
      <c r="G120" s="98"/>
      <c r="H120" s="98"/>
      <c r="I120" s="98"/>
      <c r="J120" s="98"/>
      <c r="K120" s="42"/>
      <c r="L120" s="43"/>
    </row>
    <row r="121" spans="1:12" s="41" customFormat="1" ht="15.75" x14ac:dyDescent="0.25">
      <c r="A121" s="92" t="s">
        <v>81</v>
      </c>
      <c r="B121" s="93"/>
      <c r="C121" s="93"/>
      <c r="D121" s="93"/>
      <c r="E121" s="99"/>
      <c r="F121" s="100"/>
      <c r="G121" s="100"/>
      <c r="H121" s="100"/>
      <c r="I121" s="100"/>
      <c r="J121" s="100"/>
    </row>
    <row r="122" spans="1:12" ht="24.75" customHeight="1" x14ac:dyDescent="0.25">
      <c r="A122" s="341" t="s">
        <v>1</v>
      </c>
      <c r="B122" s="402" t="s">
        <v>44</v>
      </c>
      <c r="C122" s="402"/>
      <c r="D122" s="402"/>
      <c r="E122" s="402" t="s">
        <v>45</v>
      </c>
      <c r="F122" s="402"/>
      <c r="G122" s="402" t="s">
        <v>46</v>
      </c>
      <c r="H122" s="402"/>
      <c r="I122" s="402" t="s">
        <v>102</v>
      </c>
      <c r="J122" s="402"/>
      <c r="K122" s="11"/>
      <c r="L122" s="11"/>
    </row>
    <row r="123" spans="1:12" ht="14.25" customHeight="1" x14ac:dyDescent="0.25">
      <c r="A123" s="341">
        <v>1</v>
      </c>
      <c r="B123" s="402">
        <v>2</v>
      </c>
      <c r="C123" s="402"/>
      <c r="D123" s="402"/>
      <c r="E123" s="402">
        <v>3</v>
      </c>
      <c r="F123" s="402"/>
      <c r="G123" s="402">
        <v>4</v>
      </c>
      <c r="H123" s="402"/>
      <c r="I123" s="402">
        <v>5</v>
      </c>
      <c r="J123" s="402"/>
      <c r="K123" s="357"/>
      <c r="L123" s="358"/>
    </row>
    <row r="124" spans="1:12" ht="15" hidden="1" customHeight="1" x14ac:dyDescent="0.25">
      <c r="A124" s="343"/>
      <c r="B124" s="496"/>
      <c r="C124" s="504"/>
      <c r="D124" s="497"/>
      <c r="E124" s="496"/>
      <c r="F124" s="497"/>
      <c r="G124" s="496"/>
      <c r="H124" s="497"/>
      <c r="I124" s="496"/>
      <c r="J124" s="497"/>
      <c r="K124" s="11"/>
      <c r="L124" s="11"/>
    </row>
    <row r="125" spans="1:12" ht="17.25" customHeight="1" x14ac:dyDescent="0.25">
      <c r="A125" s="344"/>
      <c r="B125" s="507" t="s">
        <v>13</v>
      </c>
      <c r="C125" s="507"/>
      <c r="D125" s="507"/>
      <c r="E125" s="508" t="s">
        <v>14</v>
      </c>
      <c r="F125" s="508"/>
      <c r="G125" s="508" t="s">
        <v>14</v>
      </c>
      <c r="H125" s="508"/>
      <c r="I125" s="508"/>
      <c r="J125" s="508"/>
      <c r="K125" s="11"/>
      <c r="L125" s="11"/>
    </row>
    <row r="126" spans="1:12" ht="16.5" customHeight="1" x14ac:dyDescent="0.25">
      <c r="A126" s="433" t="s">
        <v>91</v>
      </c>
      <c r="B126" s="433"/>
      <c r="C126" s="433"/>
      <c r="D126" s="433"/>
      <c r="E126" s="433"/>
      <c r="F126" s="433"/>
      <c r="G126" s="433"/>
      <c r="H126" s="433"/>
      <c r="I126" s="433"/>
      <c r="J126" s="433"/>
      <c r="K126" s="11"/>
      <c r="L126" s="11"/>
    </row>
    <row r="127" spans="1:12" ht="18" customHeight="1" x14ac:dyDescent="0.25">
      <c r="A127" s="92" t="s">
        <v>80</v>
      </c>
      <c r="B127" s="93"/>
      <c r="C127" s="97"/>
      <c r="D127" s="97"/>
      <c r="E127" s="97"/>
      <c r="F127" s="98"/>
      <c r="G127" s="98"/>
      <c r="H127" s="98"/>
      <c r="I127" s="98"/>
      <c r="J127" s="98"/>
      <c r="K127" s="11"/>
      <c r="L127" s="11"/>
    </row>
    <row r="128" spans="1:12" ht="18" customHeight="1" x14ac:dyDescent="0.25">
      <c r="A128" s="92" t="s">
        <v>81</v>
      </c>
      <c r="B128" s="93"/>
      <c r="C128" s="93"/>
      <c r="D128" s="93"/>
      <c r="E128" s="99"/>
      <c r="F128" s="100"/>
      <c r="G128" s="99"/>
      <c r="H128" s="100"/>
      <c r="I128" s="100"/>
      <c r="J128" s="100"/>
      <c r="K128" s="11"/>
      <c r="L128" s="11"/>
    </row>
    <row r="129" spans="1:14" ht="30" customHeight="1" x14ac:dyDescent="0.25">
      <c r="A129" s="341" t="s">
        <v>1</v>
      </c>
      <c r="B129" s="402" t="s">
        <v>44</v>
      </c>
      <c r="C129" s="402"/>
      <c r="D129" s="402"/>
      <c r="E129" s="402" t="s">
        <v>45</v>
      </c>
      <c r="F129" s="402"/>
      <c r="G129" s="402" t="s">
        <v>46</v>
      </c>
      <c r="H129" s="402"/>
      <c r="I129" s="402" t="s">
        <v>102</v>
      </c>
      <c r="J129" s="402"/>
      <c r="K129" s="186"/>
      <c r="L129" s="11"/>
    </row>
    <row r="130" spans="1:14" ht="17.25" customHeight="1" x14ac:dyDescent="0.25">
      <c r="A130" s="341">
        <v>1</v>
      </c>
      <c r="B130" s="402">
        <v>2</v>
      </c>
      <c r="C130" s="402"/>
      <c r="D130" s="402"/>
      <c r="E130" s="402">
        <v>3</v>
      </c>
      <c r="F130" s="402"/>
      <c r="G130" s="402">
        <v>4</v>
      </c>
      <c r="H130" s="402"/>
      <c r="I130" s="402">
        <v>5</v>
      </c>
      <c r="J130" s="402"/>
      <c r="K130" s="11"/>
      <c r="L130" s="11"/>
    </row>
    <row r="131" spans="1:14" ht="21.75" hidden="1" customHeight="1" x14ac:dyDescent="0.25">
      <c r="A131" s="343"/>
      <c r="B131" s="496"/>
      <c r="C131" s="504"/>
      <c r="D131" s="497"/>
      <c r="E131" s="496"/>
      <c r="F131" s="497"/>
      <c r="G131" s="496"/>
      <c r="H131" s="497"/>
      <c r="I131" s="496"/>
      <c r="J131" s="497"/>
      <c r="K131" s="11"/>
      <c r="L131" s="187"/>
    </row>
    <row r="132" spans="1:14" ht="15" customHeight="1" x14ac:dyDescent="0.25">
      <c r="A132" s="343"/>
      <c r="B132" s="507" t="s">
        <v>13</v>
      </c>
      <c r="C132" s="507"/>
      <c r="D132" s="507"/>
      <c r="E132" s="508" t="s">
        <v>14</v>
      </c>
      <c r="F132" s="508"/>
      <c r="G132" s="508" t="s">
        <v>14</v>
      </c>
      <c r="H132" s="508"/>
      <c r="I132" s="508"/>
      <c r="J132" s="508"/>
      <c r="K132" s="11"/>
      <c r="L132" s="11"/>
      <c r="M132" s="14"/>
    </row>
    <row r="133" spans="1:14" ht="29.25" customHeight="1" x14ac:dyDescent="0.25">
      <c r="A133" s="433" t="s">
        <v>49</v>
      </c>
      <c r="B133" s="433"/>
      <c r="C133" s="433"/>
      <c r="D133" s="433"/>
      <c r="E133" s="433"/>
      <c r="F133" s="433"/>
      <c r="G133" s="433"/>
      <c r="H133" s="433"/>
      <c r="I133" s="433"/>
      <c r="J133" s="433"/>
      <c r="K133" s="11"/>
      <c r="L133" s="11"/>
      <c r="M133" s="14"/>
    </row>
    <row r="134" spans="1:14" ht="19.5" customHeight="1" x14ac:dyDescent="0.25">
      <c r="A134" s="92" t="s">
        <v>80</v>
      </c>
      <c r="B134" s="93"/>
      <c r="C134" s="97">
        <v>244</v>
      </c>
      <c r="D134" s="97"/>
      <c r="E134" s="97"/>
      <c r="F134" s="98"/>
      <c r="G134" s="98"/>
      <c r="H134" s="98"/>
      <c r="I134" s="98"/>
      <c r="J134" s="98"/>
      <c r="K134" s="11"/>
      <c r="L134" s="11"/>
      <c r="M134" s="14"/>
    </row>
    <row r="135" spans="1:14" ht="17.25" customHeight="1" x14ac:dyDescent="0.25">
      <c r="A135" s="92" t="s">
        <v>81</v>
      </c>
      <c r="B135" s="93"/>
      <c r="C135" s="93"/>
      <c r="D135" s="93"/>
      <c r="E135" s="99" t="s">
        <v>82</v>
      </c>
      <c r="F135" s="100"/>
      <c r="G135" s="99"/>
      <c r="H135" s="100"/>
      <c r="I135" s="100"/>
      <c r="J135" s="100"/>
      <c r="K135" s="11"/>
      <c r="L135" s="11"/>
      <c r="M135" s="14"/>
    </row>
    <row r="136" spans="1:14" ht="17.25" customHeight="1" x14ac:dyDescent="0.25">
      <c r="A136" s="433" t="s">
        <v>304</v>
      </c>
      <c r="B136" s="433"/>
      <c r="C136" s="433"/>
      <c r="D136" s="433"/>
      <c r="E136" s="433"/>
      <c r="F136" s="433"/>
      <c r="G136" s="433"/>
      <c r="H136" s="433"/>
      <c r="I136" s="433"/>
      <c r="J136" s="433"/>
      <c r="K136" s="11"/>
      <c r="L136" s="11"/>
      <c r="M136" s="14"/>
    </row>
    <row r="137" spans="1:14" ht="39.75" customHeight="1" x14ac:dyDescent="0.25">
      <c r="A137" s="341" t="s">
        <v>1</v>
      </c>
      <c r="B137" s="402" t="s">
        <v>15</v>
      </c>
      <c r="C137" s="402"/>
      <c r="D137" s="402"/>
      <c r="E137" s="341" t="s">
        <v>50</v>
      </c>
      <c r="F137" s="341" t="s">
        <v>51</v>
      </c>
      <c r="G137" s="402" t="s">
        <v>52</v>
      </c>
      <c r="H137" s="402"/>
      <c r="I137" s="402" t="s">
        <v>104</v>
      </c>
      <c r="J137" s="402"/>
      <c r="K137" s="11"/>
      <c r="L137" s="11"/>
      <c r="M137" s="14"/>
    </row>
    <row r="138" spans="1:14" ht="15" customHeight="1" x14ac:dyDescent="0.25">
      <c r="A138" s="341">
        <v>1</v>
      </c>
      <c r="B138" s="402">
        <v>2</v>
      </c>
      <c r="C138" s="402"/>
      <c r="D138" s="402"/>
      <c r="E138" s="341">
        <v>3</v>
      </c>
      <c r="F138" s="341">
        <v>4</v>
      </c>
      <c r="G138" s="402">
        <v>5</v>
      </c>
      <c r="H138" s="402"/>
      <c r="I138" s="402">
        <v>6</v>
      </c>
      <c r="J138" s="402"/>
      <c r="K138" s="11"/>
      <c r="L138" s="11"/>
      <c r="M138" s="14"/>
    </row>
    <row r="139" spans="1:14" ht="14.25" customHeight="1" x14ac:dyDescent="0.25">
      <c r="A139" s="350">
        <v>1</v>
      </c>
      <c r="B139" s="498" t="s">
        <v>545</v>
      </c>
      <c r="C139" s="499"/>
      <c r="D139" s="500"/>
      <c r="E139" s="205" t="s">
        <v>74</v>
      </c>
      <c r="F139" s="205" t="s">
        <v>74</v>
      </c>
      <c r="G139" s="501" t="s">
        <v>74</v>
      </c>
      <c r="H139" s="501"/>
      <c r="I139" s="502">
        <f>I140+I141+I142+I143</f>
        <v>135000</v>
      </c>
      <c r="J139" s="502"/>
      <c r="K139" s="11"/>
      <c r="L139" s="11"/>
      <c r="M139" s="14"/>
    </row>
    <row r="140" spans="1:14" ht="27.75" customHeight="1" x14ac:dyDescent="0.25">
      <c r="A140" s="343" t="s">
        <v>348</v>
      </c>
      <c r="B140" s="510" t="s">
        <v>546</v>
      </c>
      <c r="C140" s="510"/>
      <c r="D140" s="510"/>
      <c r="E140" s="343">
        <v>11</v>
      </c>
      <c r="F140" s="343">
        <v>12</v>
      </c>
      <c r="G140" s="512">
        <v>8000</v>
      </c>
      <c r="H140" s="512"/>
      <c r="I140" s="506">
        <f>F140*G140</f>
        <v>96000</v>
      </c>
      <c r="J140" s="506"/>
      <c r="K140" s="13"/>
      <c r="L140" s="13"/>
      <c r="M140" s="14"/>
    </row>
    <row r="141" spans="1:14" x14ac:dyDescent="0.25">
      <c r="A141" s="343" t="s">
        <v>349</v>
      </c>
      <c r="B141" s="510" t="s">
        <v>547</v>
      </c>
      <c r="C141" s="510"/>
      <c r="D141" s="510"/>
      <c r="E141" s="343">
        <v>1</v>
      </c>
      <c r="F141" s="343">
        <v>2</v>
      </c>
      <c r="G141" s="513">
        <v>2000</v>
      </c>
      <c r="H141" s="513"/>
      <c r="I141" s="506">
        <f>F141*G141+2200</f>
        <v>6200</v>
      </c>
      <c r="J141" s="506"/>
      <c r="M141" s="14"/>
    </row>
    <row r="142" spans="1:14" ht="29.25" customHeight="1" x14ac:dyDescent="0.25">
      <c r="A142" s="343" t="s">
        <v>350</v>
      </c>
      <c r="B142" s="510" t="s">
        <v>96</v>
      </c>
      <c r="C142" s="510"/>
      <c r="D142" s="510"/>
      <c r="E142" s="343">
        <v>1</v>
      </c>
      <c r="F142" s="343">
        <v>1</v>
      </c>
      <c r="G142" s="511">
        <v>600</v>
      </c>
      <c r="H142" s="511"/>
      <c r="I142" s="506">
        <f t="shared" ref="I142:I143" si="9">F142*G142</f>
        <v>600</v>
      </c>
      <c r="J142" s="506"/>
      <c r="M142" s="14"/>
    </row>
    <row r="143" spans="1:14" x14ac:dyDescent="0.25">
      <c r="A143" s="343" t="s">
        <v>270</v>
      </c>
      <c r="B143" s="510" t="s">
        <v>548</v>
      </c>
      <c r="C143" s="510"/>
      <c r="D143" s="510"/>
      <c r="E143" s="343">
        <v>1</v>
      </c>
      <c r="F143" s="343">
        <v>4.5999999999999996</v>
      </c>
      <c r="G143" s="511">
        <v>7000</v>
      </c>
      <c r="H143" s="511"/>
      <c r="I143" s="506">
        <f t="shared" si="9"/>
        <v>32199.999999999996</v>
      </c>
      <c r="J143" s="506"/>
      <c r="M143" s="14"/>
    </row>
    <row r="144" spans="1:14" ht="16.5" customHeight="1" x14ac:dyDescent="0.25">
      <c r="A144" s="343"/>
      <c r="B144" s="507" t="s">
        <v>512</v>
      </c>
      <c r="C144" s="507"/>
      <c r="D144" s="507"/>
      <c r="E144" s="344" t="s">
        <v>14</v>
      </c>
      <c r="F144" s="344" t="s">
        <v>14</v>
      </c>
      <c r="G144" s="508" t="s">
        <v>14</v>
      </c>
      <c r="H144" s="508"/>
      <c r="I144" s="509">
        <f>I139</f>
        <v>135000</v>
      </c>
      <c r="J144" s="508"/>
      <c r="K144" s="146"/>
      <c r="N144" s="148"/>
    </row>
    <row r="145" spans="1:13" ht="12" customHeight="1" x14ac:dyDescent="0.25">
      <c r="A145" s="101"/>
      <c r="B145" s="93"/>
      <c r="C145" s="93"/>
      <c r="D145" s="93"/>
      <c r="E145" s="93"/>
      <c r="F145" s="93"/>
      <c r="G145" s="93"/>
      <c r="H145" s="93"/>
      <c r="I145" s="93"/>
      <c r="J145" s="93"/>
      <c r="K145" s="14"/>
      <c r="M145" s="85"/>
    </row>
    <row r="146" spans="1:13" ht="18.75" customHeight="1" x14ac:dyDescent="0.25">
      <c r="A146" s="433" t="s">
        <v>288</v>
      </c>
      <c r="B146" s="433"/>
      <c r="C146" s="433"/>
      <c r="D146" s="433"/>
      <c r="E146" s="433"/>
      <c r="F146" s="433"/>
      <c r="G146" s="433"/>
      <c r="H146" s="433"/>
      <c r="I146" s="433"/>
      <c r="J146" s="433"/>
      <c r="K146" s="14"/>
      <c r="M146" s="85"/>
    </row>
    <row r="147" spans="1:13" ht="12.75" customHeight="1" x14ac:dyDescent="0.25">
      <c r="A147" s="341" t="s">
        <v>1</v>
      </c>
      <c r="B147" s="402" t="s">
        <v>15</v>
      </c>
      <c r="C147" s="402"/>
      <c r="D147" s="402"/>
      <c r="E147" s="402" t="s">
        <v>53</v>
      </c>
      <c r="F147" s="402"/>
      <c r="G147" s="402" t="s">
        <v>54</v>
      </c>
      <c r="H147" s="402"/>
      <c r="I147" s="402" t="s">
        <v>264</v>
      </c>
      <c r="J147" s="402"/>
      <c r="K147" s="14"/>
      <c r="M147" s="85"/>
    </row>
    <row r="148" spans="1:13" ht="15" customHeight="1" x14ac:dyDescent="0.25">
      <c r="A148" s="341">
        <v>1</v>
      </c>
      <c r="B148" s="402">
        <v>2</v>
      </c>
      <c r="C148" s="402"/>
      <c r="D148" s="402"/>
      <c r="E148" s="402">
        <v>3</v>
      </c>
      <c r="F148" s="402"/>
      <c r="G148" s="402">
        <v>4</v>
      </c>
      <c r="H148" s="402"/>
      <c r="I148" s="402">
        <v>5</v>
      </c>
      <c r="J148" s="402"/>
      <c r="K148" s="14"/>
      <c r="M148" s="85"/>
    </row>
    <row r="149" spans="1:13" ht="17.25" hidden="1" customHeight="1" x14ac:dyDescent="0.25">
      <c r="A149" s="343">
        <v>1</v>
      </c>
      <c r="B149" s="414" t="s">
        <v>330</v>
      </c>
      <c r="C149" s="415"/>
      <c r="D149" s="416"/>
      <c r="E149" s="515"/>
      <c r="F149" s="515"/>
      <c r="G149" s="516"/>
      <c r="H149" s="516"/>
      <c r="I149" s="516">
        <f>E149*G149</f>
        <v>0</v>
      </c>
      <c r="J149" s="516"/>
      <c r="K149" s="14"/>
      <c r="M149" s="85"/>
    </row>
    <row r="150" spans="1:13" x14ac:dyDescent="0.25">
      <c r="A150" s="343"/>
      <c r="B150" s="507" t="s">
        <v>13</v>
      </c>
      <c r="C150" s="507"/>
      <c r="D150" s="507"/>
      <c r="E150" s="508" t="s">
        <v>74</v>
      </c>
      <c r="F150" s="508"/>
      <c r="G150" s="508" t="s">
        <v>74</v>
      </c>
      <c r="H150" s="508"/>
      <c r="I150" s="514">
        <f>I149</f>
        <v>0</v>
      </c>
      <c r="J150" s="508"/>
    </row>
    <row r="151" spans="1:13" ht="24" customHeight="1" x14ac:dyDescent="0.25">
      <c r="A151" s="433" t="s">
        <v>284</v>
      </c>
      <c r="B151" s="433"/>
      <c r="C151" s="433"/>
      <c r="D151" s="433"/>
      <c r="E151" s="433"/>
      <c r="F151" s="433"/>
      <c r="G151" s="433"/>
      <c r="H151" s="433"/>
      <c r="I151" s="433"/>
      <c r="J151" s="433"/>
    </row>
    <row r="152" spans="1:13" s="41" customFormat="1" ht="25.5" customHeight="1" x14ac:dyDescent="0.2">
      <c r="A152" s="341" t="s">
        <v>1</v>
      </c>
      <c r="B152" s="402" t="s">
        <v>44</v>
      </c>
      <c r="C152" s="402"/>
      <c r="D152" s="402"/>
      <c r="E152" s="341" t="s">
        <v>55</v>
      </c>
      <c r="F152" s="402" t="s">
        <v>56</v>
      </c>
      <c r="G152" s="402"/>
      <c r="H152" s="341" t="s">
        <v>57</v>
      </c>
      <c r="I152" s="402" t="s">
        <v>104</v>
      </c>
      <c r="J152" s="402"/>
    </row>
    <row r="153" spans="1:13" s="41" customFormat="1" ht="12.75" x14ac:dyDescent="0.2">
      <c r="A153" s="341">
        <v>1</v>
      </c>
      <c r="B153" s="402">
        <v>2</v>
      </c>
      <c r="C153" s="402"/>
      <c r="D153" s="402"/>
      <c r="E153" s="341">
        <v>3</v>
      </c>
      <c r="F153" s="402">
        <v>4</v>
      </c>
      <c r="G153" s="402"/>
      <c r="H153" s="341">
        <v>5</v>
      </c>
      <c r="I153" s="402">
        <v>6</v>
      </c>
      <c r="J153" s="402"/>
    </row>
    <row r="154" spans="1:13" ht="15" customHeight="1" x14ac:dyDescent="0.25">
      <c r="A154" s="350" t="s">
        <v>70</v>
      </c>
      <c r="B154" s="498" t="s">
        <v>151</v>
      </c>
      <c r="C154" s="499"/>
      <c r="D154" s="500"/>
      <c r="E154" s="103">
        <f>E155+E156</f>
        <v>275</v>
      </c>
      <c r="F154" s="519"/>
      <c r="G154" s="520"/>
      <c r="H154" s="104">
        <f>F156/F155-100%</f>
        <v>3.5000412984224072E-2</v>
      </c>
      <c r="I154" s="521">
        <f>I155+I156+14</f>
        <v>542000</v>
      </c>
      <c r="J154" s="522"/>
      <c r="K154" s="14"/>
    </row>
    <row r="155" spans="1:13" ht="15" customHeight="1" x14ac:dyDescent="0.25">
      <c r="A155" s="343"/>
      <c r="B155" s="515" t="s">
        <v>100</v>
      </c>
      <c r="C155" s="515"/>
      <c r="D155" s="515"/>
      <c r="E155" s="346">
        <v>150</v>
      </c>
      <c r="F155" s="517">
        <v>1937.12</v>
      </c>
      <c r="G155" s="518"/>
      <c r="H155" s="343"/>
      <c r="I155" s="506">
        <f>E155*F155</f>
        <v>290568</v>
      </c>
      <c r="J155" s="506"/>
      <c r="K155" s="14"/>
    </row>
    <row r="156" spans="1:13" ht="15" customHeight="1" x14ac:dyDescent="0.25">
      <c r="A156" s="343"/>
      <c r="B156" s="515" t="s">
        <v>101</v>
      </c>
      <c r="C156" s="515"/>
      <c r="D156" s="515"/>
      <c r="E156" s="346">
        <v>125</v>
      </c>
      <c r="F156" s="517">
        <v>2004.92</v>
      </c>
      <c r="G156" s="518"/>
      <c r="H156" s="343"/>
      <c r="I156" s="506">
        <f>E156*F156+803</f>
        <v>251418</v>
      </c>
      <c r="J156" s="506"/>
      <c r="K156" s="14"/>
    </row>
    <row r="157" spans="1:13" ht="15" customHeight="1" x14ac:dyDescent="0.25">
      <c r="A157" s="350" t="s">
        <v>75</v>
      </c>
      <c r="B157" s="498" t="s">
        <v>153</v>
      </c>
      <c r="C157" s="499"/>
      <c r="D157" s="500"/>
      <c r="E157" s="103">
        <f>E158+E159</f>
        <v>0</v>
      </c>
      <c r="F157" s="519"/>
      <c r="G157" s="520"/>
      <c r="H157" s="104">
        <f>F159/F158-100%</f>
        <v>3.5040944581984368E-2</v>
      </c>
      <c r="I157" s="521">
        <f>I158+I159</f>
        <v>0</v>
      </c>
      <c r="J157" s="522"/>
      <c r="K157" s="14"/>
    </row>
    <row r="158" spans="1:13" ht="15" customHeight="1" x14ac:dyDescent="0.25">
      <c r="A158" s="343"/>
      <c r="B158" s="515" t="s">
        <v>100</v>
      </c>
      <c r="C158" s="515"/>
      <c r="D158" s="515"/>
      <c r="E158" s="346"/>
      <c r="F158" s="517">
        <v>52.51</v>
      </c>
      <c r="G158" s="518"/>
      <c r="H158" s="343"/>
      <c r="I158" s="506"/>
      <c r="J158" s="506"/>
      <c r="K158" s="14"/>
    </row>
    <row r="159" spans="1:13" ht="15" customHeight="1" x14ac:dyDescent="0.25">
      <c r="A159" s="343"/>
      <c r="B159" s="515" t="s">
        <v>101</v>
      </c>
      <c r="C159" s="515"/>
      <c r="D159" s="515"/>
      <c r="E159" s="346"/>
      <c r="F159" s="517">
        <v>54.35</v>
      </c>
      <c r="G159" s="518"/>
      <c r="H159" s="343"/>
      <c r="I159" s="506"/>
      <c r="J159" s="506"/>
      <c r="K159" s="14"/>
    </row>
    <row r="160" spans="1:13" ht="15" customHeight="1" x14ac:dyDescent="0.25">
      <c r="A160" s="350" t="s">
        <v>77</v>
      </c>
      <c r="B160" s="498" t="s">
        <v>154</v>
      </c>
      <c r="C160" s="499"/>
      <c r="D160" s="500"/>
      <c r="E160" s="103">
        <f>E161+E162</f>
        <v>0</v>
      </c>
      <c r="F160" s="519"/>
      <c r="G160" s="520"/>
      <c r="H160" s="104">
        <f>F162/F161-100%</f>
        <v>3.461841070023608E-2</v>
      </c>
      <c r="I160" s="521">
        <f>I161+I162</f>
        <v>0</v>
      </c>
      <c r="J160" s="522"/>
    </row>
    <row r="161" spans="1:11" ht="15" customHeight="1" x14ac:dyDescent="0.35">
      <c r="A161" s="343"/>
      <c r="B161" s="515" t="s">
        <v>100</v>
      </c>
      <c r="C161" s="515"/>
      <c r="D161" s="515"/>
      <c r="E161" s="346"/>
      <c r="F161" s="517">
        <v>63.55</v>
      </c>
      <c r="G161" s="518"/>
      <c r="H161" s="343"/>
      <c r="I161" s="506"/>
      <c r="J161" s="506"/>
      <c r="K161" s="188"/>
    </row>
    <row r="162" spans="1:11" ht="15" customHeight="1" x14ac:dyDescent="0.25">
      <c r="A162" s="343"/>
      <c r="B162" s="515" t="s">
        <v>101</v>
      </c>
      <c r="C162" s="515"/>
      <c r="D162" s="515"/>
      <c r="E162" s="346"/>
      <c r="F162" s="517">
        <v>65.75</v>
      </c>
      <c r="G162" s="518"/>
      <c r="H162" s="343"/>
      <c r="I162" s="506"/>
      <c r="J162" s="506"/>
      <c r="K162" s="15"/>
    </row>
    <row r="163" spans="1:11" ht="15" customHeight="1" x14ac:dyDescent="0.25">
      <c r="A163" s="350" t="s">
        <v>86</v>
      </c>
      <c r="B163" s="498" t="s">
        <v>155</v>
      </c>
      <c r="C163" s="499"/>
      <c r="D163" s="500"/>
      <c r="E163" s="112">
        <f>E164+E165</f>
        <v>11000</v>
      </c>
      <c r="F163" s="519"/>
      <c r="G163" s="520"/>
      <c r="H163" s="104">
        <f>F165/F164-100%</f>
        <v>0</v>
      </c>
      <c r="I163" s="521">
        <f>I164+I165</f>
        <v>71000</v>
      </c>
      <c r="J163" s="522"/>
      <c r="K163" s="14"/>
    </row>
    <row r="164" spans="1:11" ht="15" customHeight="1" x14ac:dyDescent="0.25">
      <c r="A164" s="343"/>
      <c r="B164" s="515" t="s">
        <v>100</v>
      </c>
      <c r="C164" s="515"/>
      <c r="D164" s="515"/>
      <c r="E164" s="349">
        <v>6000</v>
      </c>
      <c r="F164" s="517">
        <v>6.5</v>
      </c>
      <c r="G164" s="518"/>
      <c r="H164" s="343"/>
      <c r="I164" s="506">
        <f>E164*F164-400</f>
        <v>38600</v>
      </c>
      <c r="J164" s="506"/>
      <c r="K164" s="14"/>
    </row>
    <row r="165" spans="1:11" ht="15" customHeight="1" x14ac:dyDescent="0.25">
      <c r="A165" s="343"/>
      <c r="B165" s="515" t="s">
        <v>101</v>
      </c>
      <c r="C165" s="515"/>
      <c r="D165" s="515"/>
      <c r="E165" s="349">
        <v>5000</v>
      </c>
      <c r="F165" s="517">
        <v>6.5</v>
      </c>
      <c r="G165" s="518"/>
      <c r="H165" s="343"/>
      <c r="I165" s="506">
        <f>E165*F165-100</f>
        <v>32400</v>
      </c>
      <c r="J165" s="506"/>
    </row>
    <row r="166" spans="1:11" ht="15" customHeight="1" x14ac:dyDescent="0.25">
      <c r="A166" s="350" t="s">
        <v>87</v>
      </c>
      <c r="B166" s="498" t="s">
        <v>549</v>
      </c>
      <c r="C166" s="499"/>
      <c r="D166" s="500"/>
      <c r="E166" s="112"/>
      <c r="F166" s="519"/>
      <c r="G166" s="520"/>
      <c r="H166" s="104">
        <v>0</v>
      </c>
      <c r="I166" s="521">
        <v>100000</v>
      </c>
      <c r="J166" s="522"/>
      <c r="K166" s="148"/>
    </row>
    <row r="167" spans="1:11" ht="15" customHeight="1" x14ac:dyDescent="0.25">
      <c r="A167" s="343"/>
      <c r="B167" s="507" t="s">
        <v>13</v>
      </c>
      <c r="C167" s="507"/>
      <c r="D167" s="507"/>
      <c r="E167" s="344" t="s">
        <v>14</v>
      </c>
      <c r="F167" s="508" t="s">
        <v>14</v>
      </c>
      <c r="G167" s="508"/>
      <c r="H167" s="344" t="s">
        <v>14</v>
      </c>
      <c r="I167" s="509">
        <f>I154+I157+I160+I163+I166</f>
        <v>713000</v>
      </c>
      <c r="J167" s="508"/>
    </row>
    <row r="168" spans="1:11" s="41" customFormat="1" ht="19.5" customHeight="1" x14ac:dyDescent="0.25">
      <c r="A168" s="433" t="s">
        <v>289</v>
      </c>
      <c r="B168" s="433"/>
      <c r="C168" s="433"/>
      <c r="D168" s="433"/>
      <c r="E168" s="433"/>
      <c r="F168" s="433"/>
      <c r="G168" s="433"/>
      <c r="H168" s="433"/>
      <c r="I168" s="433"/>
      <c r="J168" s="433"/>
    </row>
    <row r="169" spans="1:11" s="41" customFormat="1" ht="15" customHeight="1" x14ac:dyDescent="0.2">
      <c r="A169" s="341" t="s">
        <v>1</v>
      </c>
      <c r="B169" s="402" t="s">
        <v>44</v>
      </c>
      <c r="C169" s="402"/>
      <c r="D169" s="402"/>
      <c r="E169" s="402" t="s">
        <v>58</v>
      </c>
      <c r="F169" s="402"/>
      <c r="G169" s="402" t="s">
        <v>59</v>
      </c>
      <c r="H169" s="402"/>
      <c r="I169" s="402" t="s">
        <v>60</v>
      </c>
      <c r="J169" s="402"/>
    </row>
    <row r="170" spans="1:11" ht="15" customHeight="1" x14ac:dyDescent="0.25">
      <c r="A170" s="341">
        <v>1</v>
      </c>
      <c r="B170" s="402">
        <v>2</v>
      </c>
      <c r="C170" s="402"/>
      <c r="D170" s="402"/>
      <c r="E170" s="402">
        <v>3</v>
      </c>
      <c r="F170" s="402"/>
      <c r="G170" s="402">
        <v>4</v>
      </c>
      <c r="H170" s="402"/>
      <c r="I170" s="402">
        <v>5</v>
      </c>
      <c r="J170" s="402"/>
      <c r="K170" s="15"/>
    </row>
    <row r="171" spans="1:11" ht="15" hidden="1" customHeight="1" x14ac:dyDescent="0.25">
      <c r="A171" s="343"/>
      <c r="B171" s="496"/>
      <c r="C171" s="504"/>
      <c r="D171" s="497"/>
      <c r="E171" s="515"/>
      <c r="F171" s="515"/>
      <c r="G171" s="515"/>
      <c r="H171" s="515"/>
      <c r="I171" s="515"/>
      <c r="J171" s="515"/>
      <c r="K171" s="14"/>
    </row>
    <row r="172" spans="1:11" ht="15" customHeight="1" x14ac:dyDescent="0.25">
      <c r="A172" s="344"/>
      <c r="B172" s="507" t="s">
        <v>13</v>
      </c>
      <c r="C172" s="507"/>
      <c r="D172" s="507"/>
      <c r="E172" s="508" t="s">
        <v>14</v>
      </c>
      <c r="F172" s="508"/>
      <c r="G172" s="508" t="s">
        <v>14</v>
      </c>
      <c r="H172" s="508"/>
      <c r="I172" s="508"/>
      <c r="J172" s="508"/>
    </row>
    <row r="173" spans="1:11" ht="16.5" customHeight="1" x14ac:dyDescent="0.25">
      <c r="A173" s="433" t="s">
        <v>285</v>
      </c>
      <c r="B173" s="433"/>
      <c r="C173" s="433"/>
      <c r="D173" s="433"/>
      <c r="E173" s="433"/>
      <c r="F173" s="433"/>
      <c r="G173" s="433"/>
      <c r="H173" s="433"/>
      <c r="I173" s="433"/>
      <c r="J173" s="433"/>
    </row>
    <row r="174" spans="1:11" ht="15" customHeight="1" x14ac:dyDescent="0.25">
      <c r="A174" s="523" t="s">
        <v>1</v>
      </c>
      <c r="B174" s="525" t="s">
        <v>15</v>
      </c>
      <c r="C174" s="526"/>
      <c r="D174" s="527"/>
      <c r="E174" s="523" t="s">
        <v>61</v>
      </c>
      <c r="F174" s="523" t="s">
        <v>62</v>
      </c>
      <c r="G174" s="402" t="s">
        <v>63</v>
      </c>
      <c r="H174" s="402"/>
      <c r="I174" s="402"/>
      <c r="J174" s="402"/>
    </row>
    <row r="175" spans="1:11" ht="24" customHeight="1" x14ac:dyDescent="0.25">
      <c r="A175" s="524"/>
      <c r="B175" s="528"/>
      <c r="C175" s="529"/>
      <c r="D175" s="530"/>
      <c r="E175" s="524"/>
      <c r="F175" s="524"/>
      <c r="G175" s="341" t="s">
        <v>308</v>
      </c>
      <c r="H175" s="341" t="s">
        <v>305</v>
      </c>
      <c r="I175" s="351" t="s">
        <v>306</v>
      </c>
      <c r="J175" s="341" t="s">
        <v>307</v>
      </c>
    </row>
    <row r="176" spans="1:11" ht="11.25" customHeight="1" x14ac:dyDescent="0.25">
      <c r="A176" s="341">
        <v>1</v>
      </c>
      <c r="B176" s="402">
        <v>2</v>
      </c>
      <c r="C176" s="402"/>
      <c r="D176" s="402"/>
      <c r="E176" s="341">
        <v>3</v>
      </c>
      <c r="F176" s="341">
        <v>4</v>
      </c>
      <c r="G176" s="490">
        <v>5</v>
      </c>
      <c r="H176" s="491"/>
      <c r="I176" s="491"/>
      <c r="J176" s="492"/>
    </row>
    <row r="177" spans="1:12" s="316" customFormat="1" ht="28.5" customHeight="1" x14ac:dyDescent="0.25">
      <c r="A177" s="347">
        <v>1</v>
      </c>
      <c r="B177" s="534" t="s">
        <v>550</v>
      </c>
      <c r="C177" s="534"/>
      <c r="D177" s="534"/>
      <c r="E177" s="218">
        <v>2</v>
      </c>
      <c r="F177" s="218">
        <v>1</v>
      </c>
      <c r="G177" s="347" t="s">
        <v>124</v>
      </c>
      <c r="H177" s="347">
        <v>2</v>
      </c>
      <c r="I177" s="313">
        <v>28400</v>
      </c>
      <c r="J177" s="383">
        <f>ROUND(H177*I177,0)-2053.54+106.54-200+800</f>
        <v>55453</v>
      </c>
      <c r="K177" s="315"/>
    </row>
    <row r="178" spans="1:12" s="318" customFormat="1" ht="28.5" customHeight="1" x14ac:dyDescent="0.25">
      <c r="A178" s="347">
        <v>2</v>
      </c>
      <c r="B178" s="538" t="s">
        <v>551</v>
      </c>
      <c r="C178" s="538"/>
      <c r="D178" s="538"/>
      <c r="E178" s="218">
        <v>2</v>
      </c>
      <c r="F178" s="218">
        <v>1</v>
      </c>
      <c r="G178" s="347" t="s">
        <v>124</v>
      </c>
      <c r="H178" s="347">
        <v>2</v>
      </c>
      <c r="I178" s="313">
        <v>12000</v>
      </c>
      <c r="J178" s="383">
        <f>ROUND(H178*I178,0)+2189</f>
        <v>26189</v>
      </c>
      <c r="K178" s="317"/>
    </row>
    <row r="179" spans="1:12" s="326" customFormat="1" ht="44.25" customHeight="1" x14ac:dyDescent="0.25">
      <c r="A179" s="322">
        <v>3</v>
      </c>
      <c r="B179" s="533" t="s">
        <v>114</v>
      </c>
      <c r="C179" s="533"/>
      <c r="D179" s="533"/>
      <c r="E179" s="322">
        <v>3</v>
      </c>
      <c r="F179" s="322">
        <v>1</v>
      </c>
      <c r="G179" s="322" t="s">
        <v>124</v>
      </c>
      <c r="H179" s="322">
        <v>3</v>
      </c>
      <c r="I179" s="323">
        <v>14974.45</v>
      </c>
      <c r="J179" s="324">
        <f>ROUND(H179*I179,0)</f>
        <v>44923</v>
      </c>
      <c r="K179" s="325"/>
    </row>
    <row r="180" spans="1:12" s="326" customFormat="1" ht="45" customHeight="1" x14ac:dyDescent="0.25">
      <c r="A180" s="322">
        <v>4</v>
      </c>
      <c r="B180" s="533" t="s">
        <v>109</v>
      </c>
      <c r="C180" s="533"/>
      <c r="D180" s="533"/>
      <c r="E180" s="322">
        <v>1</v>
      </c>
      <c r="F180" s="322">
        <v>1</v>
      </c>
      <c r="G180" s="322" t="s">
        <v>124</v>
      </c>
      <c r="H180" s="322">
        <v>2</v>
      </c>
      <c r="I180" s="323">
        <v>750</v>
      </c>
      <c r="J180" s="324">
        <f>ROUND(H180*I180,0)</f>
        <v>1500</v>
      </c>
      <c r="K180" s="325"/>
      <c r="L180" s="327"/>
    </row>
    <row r="181" spans="1:12" s="326" customFormat="1" ht="45" customHeight="1" x14ac:dyDescent="0.25">
      <c r="A181" s="322">
        <v>5</v>
      </c>
      <c r="B181" s="533" t="s">
        <v>552</v>
      </c>
      <c r="C181" s="533"/>
      <c r="D181" s="533"/>
      <c r="E181" s="322">
        <v>1</v>
      </c>
      <c r="F181" s="322">
        <v>1</v>
      </c>
      <c r="G181" s="322" t="s">
        <v>124</v>
      </c>
      <c r="H181" s="322">
        <v>2</v>
      </c>
      <c r="I181" s="323">
        <v>750</v>
      </c>
      <c r="J181" s="324">
        <f>ROUND(H181*I181,0)</f>
        <v>1500</v>
      </c>
      <c r="K181" s="325"/>
    </row>
    <row r="182" spans="1:12" s="326" customFormat="1" ht="43.5" customHeight="1" x14ac:dyDescent="0.25">
      <c r="A182" s="322">
        <v>6</v>
      </c>
      <c r="B182" s="533" t="s">
        <v>553</v>
      </c>
      <c r="C182" s="533"/>
      <c r="D182" s="533"/>
      <c r="E182" s="322">
        <v>2</v>
      </c>
      <c r="F182" s="322">
        <v>1</v>
      </c>
      <c r="G182" s="322" t="s">
        <v>554</v>
      </c>
      <c r="H182" s="322">
        <v>1</v>
      </c>
      <c r="I182" s="323">
        <v>10000</v>
      </c>
      <c r="J182" s="324">
        <f t="shared" ref="J182:J183" si="10">ROUND(H182*I182,0)</f>
        <v>10000</v>
      </c>
      <c r="K182" s="325"/>
    </row>
    <row r="183" spans="1:12" s="329" customFormat="1" ht="32.25" customHeight="1" x14ac:dyDescent="0.25">
      <c r="A183" s="322">
        <v>7</v>
      </c>
      <c r="B183" s="533" t="s">
        <v>555</v>
      </c>
      <c r="C183" s="533"/>
      <c r="D183" s="533"/>
      <c r="E183" s="322">
        <v>1</v>
      </c>
      <c r="F183" s="322">
        <v>1</v>
      </c>
      <c r="G183" s="322" t="s">
        <v>556</v>
      </c>
      <c r="H183" s="322">
        <v>4</v>
      </c>
      <c r="I183" s="323">
        <v>6000</v>
      </c>
      <c r="J183" s="324">
        <f t="shared" si="10"/>
        <v>24000</v>
      </c>
      <c r="K183" s="328"/>
    </row>
    <row r="184" spans="1:12" s="326" customFormat="1" ht="29.25" customHeight="1" x14ac:dyDescent="0.25">
      <c r="A184" s="322">
        <v>8</v>
      </c>
      <c r="B184" s="533" t="s">
        <v>557</v>
      </c>
      <c r="C184" s="533"/>
      <c r="D184" s="533"/>
      <c r="E184" s="322">
        <v>1</v>
      </c>
      <c r="F184" s="322">
        <v>1</v>
      </c>
      <c r="G184" s="330" t="s">
        <v>124</v>
      </c>
      <c r="H184" s="322">
        <v>2</v>
      </c>
      <c r="I184" s="323">
        <v>7200</v>
      </c>
      <c r="J184" s="324">
        <f>ROUND(H184*I184,0)</f>
        <v>14400</v>
      </c>
      <c r="K184" s="325"/>
    </row>
    <row r="185" spans="1:12" s="326" customFormat="1" ht="29.25" customHeight="1" x14ac:dyDescent="0.25">
      <c r="A185" s="322">
        <v>9</v>
      </c>
      <c r="B185" s="533" t="s">
        <v>558</v>
      </c>
      <c r="C185" s="533"/>
      <c r="D185" s="533"/>
      <c r="E185" s="322">
        <v>1</v>
      </c>
      <c r="F185" s="322">
        <v>1</v>
      </c>
      <c r="G185" s="330" t="s">
        <v>124</v>
      </c>
      <c r="H185" s="322">
        <v>2</v>
      </c>
      <c r="I185" s="323">
        <v>1017.58</v>
      </c>
      <c r="J185" s="324">
        <f>ROUND(H185*I185,0)</f>
        <v>2035</v>
      </c>
      <c r="K185" s="325"/>
      <c r="L185" s="327"/>
    </row>
    <row r="186" spans="1:12" s="316" customFormat="1" ht="29.25" customHeight="1" x14ac:dyDescent="0.25">
      <c r="A186" s="347">
        <v>10</v>
      </c>
      <c r="B186" s="534" t="s">
        <v>559</v>
      </c>
      <c r="C186" s="534"/>
      <c r="D186" s="534"/>
      <c r="E186" s="347">
        <v>1</v>
      </c>
      <c r="F186" s="347">
        <v>1</v>
      </c>
      <c r="G186" s="321" t="s">
        <v>124</v>
      </c>
      <c r="H186" s="347">
        <v>2</v>
      </c>
      <c r="I186" s="313">
        <v>9900</v>
      </c>
      <c r="J186" s="383">
        <f>ROUND(H186*I186,0)+200</f>
        <v>20000</v>
      </c>
      <c r="K186" s="315"/>
    </row>
    <row r="187" spans="1:12" s="320" customFormat="1" x14ac:dyDescent="0.25">
      <c r="A187" s="347"/>
      <c r="B187" s="535" t="s">
        <v>13</v>
      </c>
      <c r="C187" s="535"/>
      <c r="D187" s="535"/>
      <c r="E187" s="347" t="s">
        <v>14</v>
      </c>
      <c r="F187" s="347"/>
      <c r="G187" s="536">
        <f>SUM(J177:J186)</f>
        <v>200000</v>
      </c>
      <c r="H187" s="537"/>
      <c r="I187" s="537"/>
      <c r="J187" s="537"/>
      <c r="K187" s="319"/>
    </row>
    <row r="188" spans="1:12" ht="17.25" customHeight="1" x14ac:dyDescent="0.25">
      <c r="A188" s="433" t="s">
        <v>290</v>
      </c>
      <c r="B188" s="433"/>
      <c r="C188" s="433"/>
      <c r="D188" s="433"/>
      <c r="E188" s="433"/>
      <c r="F188" s="433"/>
      <c r="G188" s="433"/>
      <c r="H188" s="433"/>
      <c r="I188" s="433"/>
      <c r="J188" s="433"/>
    </row>
    <row r="189" spans="1:12" ht="17.25" customHeight="1" x14ac:dyDescent="0.25">
      <c r="A189" s="523" t="s">
        <v>1</v>
      </c>
      <c r="B189" s="525" t="s">
        <v>15</v>
      </c>
      <c r="C189" s="526"/>
      <c r="D189" s="527"/>
      <c r="E189" s="525" t="s">
        <v>64</v>
      </c>
      <c r="F189" s="527"/>
      <c r="G189" s="402" t="s">
        <v>65</v>
      </c>
      <c r="H189" s="402"/>
      <c r="I189" s="402"/>
      <c r="J189" s="402"/>
    </row>
    <row r="190" spans="1:12" ht="27.75" customHeight="1" x14ac:dyDescent="0.25">
      <c r="A190" s="524"/>
      <c r="B190" s="528"/>
      <c r="C190" s="529"/>
      <c r="D190" s="530"/>
      <c r="E190" s="528"/>
      <c r="F190" s="530"/>
      <c r="G190" s="341" t="s">
        <v>308</v>
      </c>
      <c r="H190" s="341" t="s">
        <v>305</v>
      </c>
      <c r="I190" s="341" t="s">
        <v>306</v>
      </c>
      <c r="J190" s="341" t="s">
        <v>307</v>
      </c>
    </row>
    <row r="191" spans="1:12" ht="14.25" customHeight="1" x14ac:dyDescent="0.25">
      <c r="A191" s="341">
        <v>1</v>
      </c>
      <c r="B191" s="402">
        <v>2</v>
      </c>
      <c r="C191" s="402"/>
      <c r="D191" s="402"/>
      <c r="E191" s="490">
        <v>3</v>
      </c>
      <c r="F191" s="492"/>
      <c r="G191" s="402">
        <v>4</v>
      </c>
      <c r="H191" s="402"/>
      <c r="I191" s="402"/>
      <c r="J191" s="402"/>
    </row>
    <row r="192" spans="1:12" s="336" customFormat="1" ht="17.25" customHeight="1" x14ac:dyDescent="0.25">
      <c r="A192" s="218">
        <v>1</v>
      </c>
      <c r="B192" s="538" t="s">
        <v>560</v>
      </c>
      <c r="C192" s="538"/>
      <c r="D192" s="538"/>
      <c r="E192" s="531">
        <v>1</v>
      </c>
      <c r="F192" s="532"/>
      <c r="G192" s="218" t="s">
        <v>561</v>
      </c>
      <c r="H192" s="218">
        <v>3315.2</v>
      </c>
      <c r="I192" s="333">
        <v>130.15</v>
      </c>
      <c r="J192" s="334">
        <f>H192*I192</f>
        <v>431473.27999999997</v>
      </c>
      <c r="K192" s="335"/>
    </row>
    <row r="193" spans="1:12" s="337" customFormat="1" ht="31.5" customHeight="1" x14ac:dyDescent="0.25">
      <c r="A193" s="218">
        <v>2</v>
      </c>
      <c r="B193" s="538" t="s">
        <v>562</v>
      </c>
      <c r="C193" s="538"/>
      <c r="D193" s="538"/>
      <c r="E193" s="531">
        <v>1</v>
      </c>
      <c r="F193" s="532"/>
      <c r="G193" s="218" t="s">
        <v>124</v>
      </c>
      <c r="H193" s="218">
        <v>2</v>
      </c>
      <c r="I193" s="333">
        <v>6708.23</v>
      </c>
      <c r="J193" s="334">
        <f>H193*I193</f>
        <v>13416.46</v>
      </c>
      <c r="L193" s="338"/>
    </row>
    <row r="194" spans="1:12" s="337" customFormat="1" ht="28.5" customHeight="1" x14ac:dyDescent="0.25">
      <c r="A194" s="218">
        <v>3</v>
      </c>
      <c r="B194" s="538" t="s">
        <v>563</v>
      </c>
      <c r="C194" s="538"/>
      <c r="D194" s="538"/>
      <c r="E194" s="531">
        <v>1</v>
      </c>
      <c r="F194" s="532"/>
      <c r="G194" s="218" t="s">
        <v>561</v>
      </c>
      <c r="H194" s="218">
        <v>1259.2</v>
      </c>
      <c r="I194" s="333">
        <v>20</v>
      </c>
      <c r="J194" s="334">
        <f>H194*I194</f>
        <v>25184</v>
      </c>
    </row>
    <row r="195" spans="1:12" s="337" customFormat="1" ht="29.25" customHeight="1" x14ac:dyDescent="0.25">
      <c r="A195" s="218">
        <v>4</v>
      </c>
      <c r="B195" s="538" t="s">
        <v>564</v>
      </c>
      <c r="C195" s="538"/>
      <c r="D195" s="538"/>
      <c r="E195" s="531">
        <v>1</v>
      </c>
      <c r="F195" s="532"/>
      <c r="G195" s="218" t="s">
        <v>561</v>
      </c>
      <c r="H195" s="218">
        <v>496</v>
      </c>
      <c r="I195" s="333">
        <v>10</v>
      </c>
      <c r="J195" s="334">
        <f t="shared" ref="J195" si="11">H195*I195</f>
        <v>4960</v>
      </c>
    </row>
    <row r="196" spans="1:12" s="336" customFormat="1" ht="42.75" customHeight="1" x14ac:dyDescent="0.25">
      <c r="A196" s="218">
        <v>5</v>
      </c>
      <c r="B196" s="538" t="s">
        <v>565</v>
      </c>
      <c r="C196" s="538"/>
      <c r="D196" s="538"/>
      <c r="E196" s="531">
        <v>1</v>
      </c>
      <c r="F196" s="532"/>
      <c r="G196" s="218" t="s">
        <v>124</v>
      </c>
      <c r="H196" s="218">
        <v>2</v>
      </c>
      <c r="I196" s="333">
        <v>11366.67</v>
      </c>
      <c r="J196" s="334">
        <f>H196*I196</f>
        <v>22733.34</v>
      </c>
    </row>
    <row r="197" spans="1:12" s="336" customFormat="1" ht="42.75" customHeight="1" x14ac:dyDescent="0.25">
      <c r="A197" s="218">
        <v>6</v>
      </c>
      <c r="B197" s="538" t="s">
        <v>566</v>
      </c>
      <c r="C197" s="538"/>
      <c r="D197" s="538"/>
      <c r="E197" s="531">
        <v>1</v>
      </c>
      <c r="F197" s="532"/>
      <c r="G197" s="218" t="s">
        <v>124</v>
      </c>
      <c r="H197" s="218">
        <v>2</v>
      </c>
      <c r="I197" s="333">
        <v>2300</v>
      </c>
      <c r="J197" s="334">
        <f>H197*I197+0.12</f>
        <v>4600.12</v>
      </c>
    </row>
    <row r="198" spans="1:12" s="336" customFormat="1" ht="24" customHeight="1" x14ac:dyDescent="0.25">
      <c r="A198" s="218">
        <v>7</v>
      </c>
      <c r="B198" s="538" t="s">
        <v>137</v>
      </c>
      <c r="C198" s="538"/>
      <c r="D198" s="538"/>
      <c r="E198" s="531">
        <v>1</v>
      </c>
      <c r="F198" s="532"/>
      <c r="G198" s="218" t="s">
        <v>149</v>
      </c>
      <c r="H198" s="218">
        <v>13</v>
      </c>
      <c r="I198" s="333">
        <v>4000</v>
      </c>
      <c r="J198" s="334">
        <f>H198*I198+639.32+393.6-0.12</f>
        <v>53032.799999999996</v>
      </c>
    </row>
    <row r="199" spans="1:12" s="337" customFormat="1" ht="20.25" customHeight="1" x14ac:dyDescent="0.25">
      <c r="A199" s="218">
        <v>8</v>
      </c>
      <c r="B199" s="538" t="s">
        <v>140</v>
      </c>
      <c r="C199" s="538"/>
      <c r="D199" s="538"/>
      <c r="E199" s="531">
        <v>1</v>
      </c>
      <c r="F199" s="532"/>
      <c r="G199" s="218" t="s">
        <v>149</v>
      </c>
      <c r="H199" s="218">
        <v>8</v>
      </c>
      <c r="I199" s="333">
        <v>400</v>
      </c>
      <c r="J199" s="334">
        <f>H199*I199+400</f>
        <v>3600</v>
      </c>
    </row>
    <row r="200" spans="1:12" s="337" customFormat="1" ht="20.25" customHeight="1" x14ac:dyDescent="0.25">
      <c r="A200" s="218">
        <v>9</v>
      </c>
      <c r="B200" s="538" t="s">
        <v>567</v>
      </c>
      <c r="C200" s="538"/>
      <c r="D200" s="538"/>
      <c r="E200" s="531">
        <v>1</v>
      </c>
      <c r="F200" s="532"/>
      <c r="G200" s="218" t="s">
        <v>149</v>
      </c>
      <c r="H200" s="218">
        <v>1</v>
      </c>
      <c r="I200" s="333">
        <v>4000</v>
      </c>
      <c r="J200" s="334">
        <f>I200*H200</f>
        <v>4000</v>
      </c>
    </row>
    <row r="201" spans="1:12" s="336" customFormat="1" ht="32.25" customHeight="1" x14ac:dyDescent="0.25">
      <c r="A201" s="218">
        <v>10</v>
      </c>
      <c r="B201" s="538" t="s">
        <v>568</v>
      </c>
      <c r="C201" s="538"/>
      <c r="D201" s="538"/>
      <c r="E201" s="531">
        <v>1</v>
      </c>
      <c r="F201" s="532"/>
      <c r="G201" s="218" t="s">
        <v>124</v>
      </c>
      <c r="H201" s="218">
        <v>12</v>
      </c>
      <c r="I201" s="333">
        <v>2000</v>
      </c>
      <c r="J201" s="334">
        <f t="shared" ref="J201" si="12">H201*I201</f>
        <v>24000</v>
      </c>
    </row>
    <row r="202" spans="1:12" s="320" customFormat="1" ht="45" customHeight="1" x14ac:dyDescent="0.25">
      <c r="A202" s="347">
        <v>11</v>
      </c>
      <c r="B202" s="534" t="s">
        <v>569</v>
      </c>
      <c r="C202" s="534"/>
      <c r="D202" s="534"/>
      <c r="E202" s="482">
        <v>1</v>
      </c>
      <c r="F202" s="483"/>
      <c r="G202" s="347" t="s">
        <v>309</v>
      </c>
      <c r="H202" s="347">
        <v>1</v>
      </c>
      <c r="I202" s="331">
        <v>6000</v>
      </c>
      <c r="J202" s="383">
        <f>H202*I202</f>
        <v>6000</v>
      </c>
    </row>
    <row r="203" spans="1:12" s="320" customFormat="1" ht="15.75" x14ac:dyDescent="0.25">
      <c r="A203" s="332"/>
      <c r="B203" s="578" t="s">
        <v>13</v>
      </c>
      <c r="C203" s="579"/>
      <c r="D203" s="580"/>
      <c r="E203" s="576" t="s">
        <v>14</v>
      </c>
      <c r="F203" s="577"/>
      <c r="G203" s="573">
        <f>SUM(J192:J202)</f>
        <v>593000</v>
      </c>
      <c r="H203" s="574"/>
      <c r="I203" s="574"/>
      <c r="J203" s="575"/>
    </row>
    <row r="204" spans="1:12" ht="30" customHeight="1" x14ac:dyDescent="0.25">
      <c r="A204" s="569" t="s">
        <v>390</v>
      </c>
      <c r="B204" s="569"/>
      <c r="C204" s="569"/>
      <c r="D204" s="569"/>
      <c r="E204" s="569"/>
      <c r="F204" s="569"/>
      <c r="G204" s="569"/>
      <c r="H204" s="569"/>
      <c r="I204" s="569"/>
      <c r="J204" s="569"/>
    </row>
    <row r="205" spans="1:12" ht="30" customHeight="1" x14ac:dyDescent="0.25">
      <c r="A205" s="341" t="s">
        <v>1</v>
      </c>
      <c r="B205" s="402" t="s">
        <v>44</v>
      </c>
      <c r="C205" s="402"/>
      <c r="D205" s="402"/>
      <c r="E205" s="402" t="s">
        <v>58</v>
      </c>
      <c r="F205" s="402"/>
      <c r="G205" s="402" t="s">
        <v>59</v>
      </c>
      <c r="H205" s="402"/>
      <c r="I205" s="402" t="s">
        <v>60</v>
      </c>
      <c r="J205" s="402"/>
    </row>
    <row r="206" spans="1:12" ht="30" customHeight="1" x14ac:dyDescent="0.25">
      <c r="A206" s="341">
        <v>1</v>
      </c>
      <c r="B206" s="402">
        <v>2</v>
      </c>
      <c r="C206" s="402"/>
      <c r="D206" s="402"/>
      <c r="E206" s="402">
        <v>3</v>
      </c>
      <c r="F206" s="402"/>
      <c r="G206" s="402">
        <v>4</v>
      </c>
      <c r="H206" s="402"/>
      <c r="I206" s="402">
        <v>5</v>
      </c>
      <c r="J206" s="402"/>
    </row>
    <row r="207" spans="1:12" ht="30" customHeight="1" x14ac:dyDescent="0.25">
      <c r="A207" s="343" t="s">
        <v>27</v>
      </c>
      <c r="B207" s="496"/>
      <c r="C207" s="504"/>
      <c r="D207" s="497"/>
      <c r="E207" s="515"/>
      <c r="F207" s="515"/>
      <c r="G207" s="515"/>
      <c r="H207" s="515"/>
      <c r="I207" s="515"/>
      <c r="J207" s="515"/>
    </row>
    <row r="208" spans="1:12" ht="30" customHeight="1" x14ac:dyDescent="0.25">
      <c r="A208" s="344"/>
      <c r="B208" s="507" t="s">
        <v>13</v>
      </c>
      <c r="C208" s="507"/>
      <c r="D208" s="507"/>
      <c r="E208" s="508" t="s">
        <v>14</v>
      </c>
      <c r="F208" s="508"/>
      <c r="G208" s="508" t="s">
        <v>14</v>
      </c>
      <c r="H208" s="508"/>
      <c r="I208" s="508">
        <f>I207</f>
        <v>0</v>
      </c>
      <c r="J208" s="508"/>
    </row>
    <row r="209" spans="1:11" ht="15.75" customHeight="1" x14ac:dyDescent="0.25">
      <c r="A209" s="434" t="s">
        <v>391</v>
      </c>
      <c r="B209" s="434"/>
      <c r="C209" s="434"/>
      <c r="D209" s="434"/>
      <c r="E209" s="434"/>
      <c r="F209" s="434"/>
      <c r="G209" s="434"/>
      <c r="H209" s="434"/>
      <c r="I209" s="434"/>
      <c r="J209" s="434"/>
    </row>
    <row r="210" spans="1:11" ht="17.25" customHeight="1" x14ac:dyDescent="0.25">
      <c r="A210" s="341" t="s">
        <v>1</v>
      </c>
      <c r="B210" s="490" t="s">
        <v>15</v>
      </c>
      <c r="C210" s="491"/>
      <c r="D210" s="492"/>
      <c r="E210" s="490" t="s">
        <v>58</v>
      </c>
      <c r="F210" s="492"/>
      <c r="G210" s="490" t="s">
        <v>66</v>
      </c>
      <c r="H210" s="492"/>
      <c r="I210" s="490" t="s">
        <v>264</v>
      </c>
      <c r="J210" s="492"/>
    </row>
    <row r="211" spans="1:11" ht="16.5" customHeight="1" x14ac:dyDescent="0.25">
      <c r="A211" s="341">
        <v>1</v>
      </c>
      <c r="B211" s="490">
        <v>2</v>
      </c>
      <c r="C211" s="491"/>
      <c r="D211" s="492"/>
      <c r="E211" s="490">
        <v>3</v>
      </c>
      <c r="F211" s="492"/>
      <c r="G211" s="490">
        <v>4</v>
      </c>
      <c r="H211" s="492"/>
      <c r="I211" s="490">
        <v>5</v>
      </c>
      <c r="J211" s="492"/>
    </row>
    <row r="212" spans="1:11" ht="30" hidden="1" customHeight="1" x14ac:dyDescent="0.25">
      <c r="A212" s="350" t="s">
        <v>70</v>
      </c>
      <c r="B212" s="498" t="s">
        <v>170</v>
      </c>
      <c r="C212" s="499"/>
      <c r="D212" s="500"/>
      <c r="E212" s="107"/>
      <c r="F212" s="107"/>
      <c r="G212" s="475"/>
      <c r="H212" s="476"/>
      <c r="I212" s="565">
        <f>I213</f>
        <v>0</v>
      </c>
      <c r="J212" s="564"/>
    </row>
    <row r="213" spans="1:11" ht="17.25" hidden="1" customHeight="1" x14ac:dyDescent="0.25">
      <c r="A213" s="343" t="s">
        <v>27</v>
      </c>
      <c r="B213" s="541" t="s">
        <v>334</v>
      </c>
      <c r="C213" s="542"/>
      <c r="D213" s="543"/>
      <c r="E213" s="108" t="s">
        <v>310</v>
      </c>
      <c r="F213" s="108">
        <v>4</v>
      </c>
      <c r="G213" s="517" t="s">
        <v>260</v>
      </c>
      <c r="H213" s="518"/>
      <c r="I213" s="544"/>
      <c r="J213" s="545"/>
    </row>
    <row r="214" spans="1:11" s="41" customFormat="1" ht="30" hidden="1" customHeight="1" x14ac:dyDescent="0.25">
      <c r="A214" s="343" t="s">
        <v>27</v>
      </c>
      <c r="B214" s="546" t="s">
        <v>335</v>
      </c>
      <c r="C214" s="547"/>
      <c r="D214" s="548"/>
      <c r="E214" s="108" t="s">
        <v>331</v>
      </c>
      <c r="F214" s="346">
        <v>21</v>
      </c>
      <c r="G214" s="517" t="s">
        <v>74</v>
      </c>
      <c r="H214" s="518"/>
      <c r="I214" s="544"/>
      <c r="J214" s="545"/>
    </row>
    <row r="215" spans="1:11" s="41" customFormat="1" ht="30" customHeight="1" x14ac:dyDescent="0.25">
      <c r="A215" s="343" t="s">
        <v>27</v>
      </c>
      <c r="B215" s="551"/>
      <c r="C215" s="551"/>
      <c r="D215" s="551"/>
      <c r="E215" s="206"/>
      <c r="F215" s="207"/>
      <c r="G215" s="552"/>
      <c r="H215" s="552"/>
      <c r="I215" s="591"/>
      <c r="J215" s="592"/>
    </row>
    <row r="216" spans="1:11" ht="30" hidden="1" customHeight="1" x14ac:dyDescent="0.25">
      <c r="A216" s="343" t="s">
        <v>38</v>
      </c>
      <c r="B216" s="551" t="s">
        <v>183</v>
      </c>
      <c r="C216" s="551"/>
      <c r="D216" s="551"/>
      <c r="E216" s="108" t="s">
        <v>311</v>
      </c>
      <c r="F216" s="346">
        <v>1007</v>
      </c>
      <c r="G216" s="552" t="s">
        <v>260</v>
      </c>
      <c r="H216" s="552"/>
      <c r="I216" s="549"/>
      <c r="J216" s="550"/>
    </row>
    <row r="217" spans="1:11" s="41" customFormat="1" ht="30" hidden="1" customHeight="1" x14ac:dyDescent="0.25">
      <c r="A217" s="109" t="s">
        <v>40</v>
      </c>
      <c r="B217" s="551" t="s">
        <v>184</v>
      </c>
      <c r="C217" s="551"/>
      <c r="D217" s="551"/>
      <c r="E217" s="108" t="s">
        <v>311</v>
      </c>
      <c r="F217" s="346">
        <v>1007</v>
      </c>
      <c r="G217" s="552" t="s">
        <v>260</v>
      </c>
      <c r="H217" s="552"/>
      <c r="I217" s="549"/>
      <c r="J217" s="550"/>
    </row>
    <row r="218" spans="1:11" ht="30" hidden="1" customHeight="1" x14ac:dyDescent="0.25">
      <c r="A218" s="343" t="s">
        <v>42</v>
      </c>
      <c r="B218" s="551" t="s">
        <v>185</v>
      </c>
      <c r="C218" s="551"/>
      <c r="D218" s="551"/>
      <c r="E218" s="108" t="s">
        <v>311</v>
      </c>
      <c r="F218" s="346">
        <v>1007</v>
      </c>
      <c r="G218" s="552" t="s">
        <v>260</v>
      </c>
      <c r="H218" s="552"/>
      <c r="I218" s="549"/>
      <c r="J218" s="550"/>
      <c r="K218" s="15"/>
    </row>
    <row r="219" spans="1:11" ht="30" hidden="1" customHeight="1" x14ac:dyDescent="0.25">
      <c r="A219" s="343" t="s">
        <v>180</v>
      </c>
      <c r="B219" s="551" t="s">
        <v>186</v>
      </c>
      <c r="C219" s="551"/>
      <c r="D219" s="551"/>
      <c r="E219" s="108" t="s">
        <v>311</v>
      </c>
      <c r="F219" s="346">
        <v>1007</v>
      </c>
      <c r="G219" s="552" t="s">
        <v>260</v>
      </c>
      <c r="H219" s="552"/>
      <c r="I219" s="549"/>
      <c r="J219" s="550"/>
      <c r="K219" s="14"/>
    </row>
    <row r="220" spans="1:11" ht="30" hidden="1" customHeight="1" x14ac:dyDescent="0.25">
      <c r="A220" s="109" t="s">
        <v>181</v>
      </c>
      <c r="B220" s="551" t="s">
        <v>192</v>
      </c>
      <c r="C220" s="551"/>
      <c r="D220" s="551"/>
      <c r="E220" s="108" t="s">
        <v>311</v>
      </c>
      <c r="F220" s="346">
        <v>1007</v>
      </c>
      <c r="G220" s="552" t="s">
        <v>260</v>
      </c>
      <c r="H220" s="552"/>
      <c r="I220" s="549"/>
      <c r="J220" s="550"/>
    </row>
    <row r="221" spans="1:11" ht="17.25" customHeight="1" x14ac:dyDescent="0.25">
      <c r="A221" s="343"/>
      <c r="B221" s="507" t="s">
        <v>13</v>
      </c>
      <c r="C221" s="507"/>
      <c r="D221" s="507"/>
      <c r="E221" s="553" t="s">
        <v>74</v>
      </c>
      <c r="F221" s="554"/>
      <c r="G221" s="508" t="s">
        <v>14</v>
      </c>
      <c r="H221" s="508"/>
      <c r="I221" s="509"/>
      <c r="J221" s="508"/>
    </row>
    <row r="222" spans="1:11" ht="21.75" customHeight="1" x14ac:dyDescent="0.25">
      <c r="A222" s="540" t="s">
        <v>392</v>
      </c>
      <c r="B222" s="540"/>
      <c r="C222" s="540"/>
      <c r="D222" s="540"/>
      <c r="E222" s="540"/>
      <c r="F222" s="540"/>
      <c r="G222" s="540"/>
      <c r="H222" s="540"/>
      <c r="I222" s="540"/>
      <c r="J222" s="540"/>
    </row>
    <row r="223" spans="1:11" ht="15.75" x14ac:dyDescent="0.25">
      <c r="A223" s="593"/>
      <c r="B223" s="593"/>
      <c r="C223" s="593"/>
      <c r="D223" s="593"/>
      <c r="E223" s="593"/>
      <c r="F223" s="593"/>
      <c r="G223" s="593"/>
      <c r="H223" s="593"/>
      <c r="I223" s="593"/>
      <c r="J223" s="593"/>
    </row>
    <row r="224" spans="1:11" ht="15" customHeight="1" x14ac:dyDescent="0.25">
      <c r="A224" s="341" t="s">
        <v>1</v>
      </c>
      <c r="B224" s="402" t="s">
        <v>15</v>
      </c>
      <c r="C224" s="402"/>
      <c r="D224" s="402"/>
      <c r="E224" s="402" t="s">
        <v>58</v>
      </c>
      <c r="F224" s="402"/>
      <c r="G224" s="402" t="s">
        <v>66</v>
      </c>
      <c r="H224" s="402"/>
      <c r="I224" s="402" t="s">
        <v>264</v>
      </c>
      <c r="J224" s="402"/>
    </row>
    <row r="225" spans="1:10" x14ac:dyDescent="0.25">
      <c r="A225" s="341">
        <v>1</v>
      </c>
      <c r="B225" s="402">
        <v>2</v>
      </c>
      <c r="C225" s="402"/>
      <c r="D225" s="402"/>
      <c r="E225" s="402">
        <v>3</v>
      </c>
      <c r="F225" s="402"/>
      <c r="G225" s="402">
        <v>4</v>
      </c>
      <c r="H225" s="402"/>
      <c r="I225" s="402">
        <v>5</v>
      </c>
      <c r="J225" s="402"/>
    </row>
    <row r="226" spans="1:10" s="46" customFormat="1" ht="15" customHeight="1" x14ac:dyDescent="0.25">
      <c r="A226" s="562" t="s">
        <v>365</v>
      </c>
      <c r="B226" s="562"/>
      <c r="C226" s="562"/>
      <c r="D226" s="562"/>
      <c r="E226" s="562"/>
      <c r="F226" s="562"/>
      <c r="G226" s="562"/>
      <c r="H226" s="562"/>
      <c r="I226" s="562"/>
      <c r="J226" s="562"/>
    </row>
    <row r="227" spans="1:10" s="45" customFormat="1" ht="33" customHeight="1" x14ac:dyDescent="0.25">
      <c r="A227" s="350">
        <v>1</v>
      </c>
      <c r="B227" s="498"/>
      <c r="C227" s="499"/>
      <c r="D227" s="500"/>
      <c r="E227" s="107"/>
      <c r="F227" s="107"/>
      <c r="G227" s="475"/>
      <c r="H227" s="476"/>
      <c r="I227" s="563">
        <f>SUM(I228:J229)</f>
        <v>20000</v>
      </c>
      <c r="J227" s="564"/>
    </row>
    <row r="228" spans="1:10" s="46" customFormat="1" ht="15" customHeight="1" x14ac:dyDescent="0.25">
      <c r="A228" s="343" t="s">
        <v>27</v>
      </c>
      <c r="B228" s="555" t="s">
        <v>573</v>
      </c>
      <c r="C228" s="555"/>
      <c r="D228" s="555"/>
      <c r="E228" s="236"/>
      <c r="F228" s="237"/>
      <c r="G228" s="556"/>
      <c r="H228" s="556"/>
      <c r="I228" s="557">
        <v>10000</v>
      </c>
      <c r="J228" s="558"/>
    </row>
    <row r="229" spans="1:10" s="45" customFormat="1" x14ac:dyDescent="0.25">
      <c r="A229" s="343" t="s">
        <v>29</v>
      </c>
      <c r="B229" s="555" t="s">
        <v>574</v>
      </c>
      <c r="C229" s="555"/>
      <c r="D229" s="555"/>
      <c r="E229" s="236"/>
      <c r="F229" s="237"/>
      <c r="G229" s="556"/>
      <c r="H229" s="556"/>
      <c r="I229" s="557">
        <v>10000</v>
      </c>
      <c r="J229" s="558"/>
    </row>
    <row r="230" spans="1:10" s="45" customFormat="1" x14ac:dyDescent="0.25">
      <c r="A230" s="109"/>
      <c r="B230" s="507"/>
      <c r="C230" s="507"/>
      <c r="D230" s="507"/>
      <c r="E230" s="108"/>
      <c r="F230" s="346"/>
      <c r="G230" s="552"/>
      <c r="H230" s="552"/>
      <c r="I230" s="559"/>
      <c r="J230" s="454"/>
    </row>
    <row r="231" spans="1:10" s="45" customFormat="1" ht="15.75" customHeight="1" x14ac:dyDescent="0.25">
      <c r="A231" s="539" t="s">
        <v>393</v>
      </c>
      <c r="B231" s="539"/>
      <c r="C231" s="539"/>
      <c r="D231" s="539"/>
      <c r="E231" s="539"/>
      <c r="F231" s="539"/>
      <c r="G231" s="539"/>
      <c r="H231" s="539"/>
      <c r="I231" s="539"/>
      <c r="J231" s="539"/>
    </row>
    <row r="232" spans="1:10" x14ac:dyDescent="0.25">
      <c r="A232" s="523" t="s">
        <v>1</v>
      </c>
      <c r="B232" s="525" t="s">
        <v>15</v>
      </c>
      <c r="C232" s="526"/>
      <c r="D232" s="527"/>
      <c r="E232" s="525" t="s">
        <v>64</v>
      </c>
      <c r="F232" s="527"/>
      <c r="G232" s="402" t="s">
        <v>65</v>
      </c>
      <c r="H232" s="402"/>
      <c r="I232" s="402"/>
      <c r="J232" s="402"/>
    </row>
    <row r="233" spans="1:10" ht="25.5" x14ac:dyDescent="0.25">
      <c r="A233" s="524"/>
      <c r="B233" s="528"/>
      <c r="C233" s="529"/>
      <c r="D233" s="530"/>
      <c r="E233" s="528"/>
      <c r="F233" s="530"/>
      <c r="G233" s="341" t="s">
        <v>308</v>
      </c>
      <c r="H233" s="341" t="s">
        <v>305</v>
      </c>
      <c r="I233" s="341" t="s">
        <v>306</v>
      </c>
      <c r="J233" s="341" t="s">
        <v>307</v>
      </c>
    </row>
    <row r="234" spans="1:10" x14ac:dyDescent="0.25">
      <c r="A234" s="341">
        <v>1</v>
      </c>
      <c r="B234" s="402">
        <v>2</v>
      </c>
      <c r="C234" s="402"/>
      <c r="D234" s="402"/>
      <c r="E234" s="490">
        <v>3</v>
      </c>
      <c r="F234" s="492"/>
      <c r="G234" s="402">
        <v>4</v>
      </c>
      <c r="H234" s="402"/>
      <c r="I234" s="402"/>
      <c r="J234" s="402"/>
    </row>
    <row r="235" spans="1:10" s="320" customFormat="1" ht="30" customHeight="1" x14ac:dyDescent="0.25">
      <c r="A235" s="347">
        <v>12</v>
      </c>
      <c r="B235" s="534" t="s">
        <v>570</v>
      </c>
      <c r="C235" s="534"/>
      <c r="D235" s="534"/>
      <c r="E235" s="482">
        <v>1</v>
      </c>
      <c r="F235" s="483"/>
      <c r="G235" s="347" t="s">
        <v>309</v>
      </c>
      <c r="H235" s="347">
        <v>1</v>
      </c>
      <c r="I235" s="331">
        <v>12000</v>
      </c>
      <c r="J235" s="383">
        <f t="shared" ref="J235" si="13">H235*I235</f>
        <v>12000</v>
      </c>
    </row>
    <row r="236" spans="1:10" s="320" customFormat="1" ht="31.5" customHeight="1" x14ac:dyDescent="0.25">
      <c r="A236" s="347">
        <v>13</v>
      </c>
      <c r="B236" s="534" t="s">
        <v>571</v>
      </c>
      <c r="C236" s="534"/>
      <c r="D236" s="534"/>
      <c r="E236" s="482">
        <v>1</v>
      </c>
      <c r="F236" s="483"/>
      <c r="G236" s="347" t="s">
        <v>309</v>
      </c>
      <c r="H236" s="347">
        <v>1</v>
      </c>
      <c r="I236" s="331">
        <v>3000</v>
      </c>
      <c r="J236" s="383">
        <f>H236*I236</f>
        <v>3000</v>
      </c>
    </row>
    <row r="237" spans="1:10" s="320" customFormat="1" ht="32.25" customHeight="1" x14ac:dyDescent="0.25">
      <c r="A237" s="347">
        <v>14</v>
      </c>
      <c r="B237" s="534" t="s">
        <v>572</v>
      </c>
      <c r="C237" s="534"/>
      <c r="D237" s="534"/>
      <c r="E237" s="482">
        <v>1</v>
      </c>
      <c r="F237" s="483"/>
      <c r="G237" s="347" t="s">
        <v>309</v>
      </c>
      <c r="H237" s="347">
        <v>1</v>
      </c>
      <c r="I237" s="331">
        <v>2000</v>
      </c>
      <c r="J237" s="383">
        <f t="shared" ref="J237" si="14">H237*I237</f>
        <v>2000</v>
      </c>
    </row>
    <row r="238" spans="1:10" ht="15.75" x14ac:dyDescent="0.25">
      <c r="A238" s="106"/>
      <c r="B238" s="586" t="s">
        <v>13</v>
      </c>
      <c r="C238" s="586"/>
      <c r="D238" s="586"/>
      <c r="E238" s="587" t="s">
        <v>14</v>
      </c>
      <c r="F238" s="588"/>
      <c r="G238" s="589">
        <f>J235+J236+J237</f>
        <v>17000</v>
      </c>
      <c r="H238" s="590"/>
      <c r="I238" s="590"/>
      <c r="J238" s="590"/>
    </row>
    <row r="239" spans="1:10" x14ac:dyDescent="0.25">
      <c r="A239" s="93"/>
      <c r="B239" s="93"/>
      <c r="C239" s="93"/>
      <c r="D239" s="93"/>
      <c r="E239" s="93"/>
      <c r="F239" s="93"/>
      <c r="G239" s="93"/>
      <c r="H239" s="93"/>
      <c r="I239" s="93"/>
      <c r="J239" s="93"/>
    </row>
    <row r="240" spans="1:10" x14ac:dyDescent="0.25">
      <c r="A240" s="93"/>
      <c r="B240" s="93"/>
      <c r="C240" s="93"/>
      <c r="D240" s="93"/>
      <c r="E240" s="93"/>
      <c r="F240" s="93"/>
      <c r="G240" s="93"/>
      <c r="H240" s="110" t="s">
        <v>212</v>
      </c>
      <c r="I240" s="560">
        <f>I242+J243</f>
        <v>37103600.002000004</v>
      </c>
      <c r="J240" s="560"/>
    </row>
    <row r="241" spans="1:11" x14ac:dyDescent="0.25">
      <c r="A241" s="93"/>
      <c r="B241" s="93"/>
      <c r="C241" s="93"/>
      <c r="D241" s="93"/>
      <c r="E241" s="93"/>
      <c r="F241" s="93"/>
      <c r="G241" s="93"/>
      <c r="H241" s="111" t="s">
        <v>248</v>
      </c>
      <c r="I241" s="93"/>
      <c r="J241" s="93"/>
    </row>
    <row r="242" spans="1:11" x14ac:dyDescent="0.25">
      <c r="A242" s="93"/>
      <c r="B242" s="93"/>
      <c r="C242" s="93"/>
      <c r="D242" s="93"/>
      <c r="E242" s="93"/>
      <c r="F242" s="93"/>
      <c r="G242" s="93"/>
      <c r="H242" s="111" t="s">
        <v>82</v>
      </c>
      <c r="I242" s="561">
        <f>I227+G203+G187+I167+I144+I118+I96+I73+I68+J52+I57+G238</f>
        <v>37039400.002000004</v>
      </c>
      <c r="J242" s="561"/>
      <c r="K242" s="148"/>
    </row>
    <row r="243" spans="1:11" x14ac:dyDescent="0.25">
      <c r="A243" s="93"/>
      <c r="B243" s="93"/>
      <c r="C243" s="93"/>
      <c r="D243" s="93"/>
      <c r="E243" s="93"/>
      <c r="F243" s="93"/>
      <c r="G243" s="93"/>
      <c r="H243" s="111" t="s">
        <v>532</v>
      </c>
      <c r="I243" s="93"/>
      <c r="J243" s="126">
        <f>I97+J51</f>
        <v>64200</v>
      </c>
    </row>
    <row r="244" spans="1:11" s="119" customFormat="1" ht="15" customHeight="1" x14ac:dyDescent="0.25">
      <c r="A244" s="406" t="s">
        <v>514</v>
      </c>
      <c r="B244" s="406"/>
      <c r="C244" s="406"/>
      <c r="D244" s="116"/>
      <c r="E244" s="116"/>
      <c r="F244" s="117" t="s">
        <v>690</v>
      </c>
      <c r="G244" s="118"/>
      <c r="H244" s="118"/>
    </row>
    <row r="245" spans="1:11" s="119" customFormat="1" ht="15" customHeight="1" x14ac:dyDescent="0.2">
      <c r="A245" s="120"/>
      <c r="B245" s="120"/>
      <c r="C245" s="120"/>
      <c r="D245" s="407" t="s">
        <v>281</v>
      </c>
      <c r="E245" s="407"/>
      <c r="F245" s="271" t="s">
        <v>282</v>
      </c>
      <c r="G245" s="271"/>
      <c r="H245" s="271"/>
    </row>
    <row r="246" spans="1:11" s="121" customFormat="1" ht="15" customHeight="1" x14ac:dyDescent="0.25">
      <c r="A246" s="406" t="s">
        <v>262</v>
      </c>
      <c r="B246" s="406"/>
      <c r="C246" s="406"/>
      <c r="D246" s="116"/>
      <c r="E246" s="116"/>
      <c r="F246" s="117" t="s">
        <v>509</v>
      </c>
      <c r="G246" s="117"/>
      <c r="H246" s="117"/>
    </row>
    <row r="247" spans="1:11" s="119" customFormat="1" ht="15" customHeight="1" x14ac:dyDescent="0.2">
      <c r="A247" s="120"/>
      <c r="B247" s="120"/>
      <c r="C247" s="120"/>
      <c r="D247" s="407" t="s">
        <v>281</v>
      </c>
      <c r="E247" s="407"/>
      <c r="F247" s="271" t="s">
        <v>282</v>
      </c>
      <c r="G247" s="271"/>
      <c r="H247" s="271"/>
    </row>
    <row r="248" spans="1:11" s="121" customFormat="1" ht="15" customHeight="1" x14ac:dyDescent="0.25">
      <c r="A248" s="406" t="s">
        <v>374</v>
      </c>
      <c r="B248" s="406"/>
      <c r="C248" s="406"/>
      <c r="D248" s="116"/>
      <c r="E248" s="116"/>
      <c r="F248" s="117" t="s">
        <v>510</v>
      </c>
      <c r="G248" s="117"/>
      <c r="H248" s="117"/>
    </row>
    <row r="249" spans="1:11" s="119" customFormat="1" ht="12.75" x14ac:dyDescent="0.2">
      <c r="A249" s="342"/>
      <c r="B249" s="342"/>
      <c r="C249" s="342"/>
      <c r="D249" s="407" t="s">
        <v>281</v>
      </c>
      <c r="E249" s="407"/>
      <c r="F249" s="271" t="s">
        <v>282</v>
      </c>
      <c r="G249" s="271"/>
      <c r="H249" s="271"/>
    </row>
    <row r="250" spans="1:11" x14ac:dyDescent="0.25">
      <c r="A250" s="340"/>
      <c r="B250" s="340"/>
      <c r="C250" s="340"/>
      <c r="D250" s="340"/>
      <c r="E250" s="340"/>
      <c r="F250" s="340"/>
      <c r="G250" s="45"/>
      <c r="H250" s="45"/>
      <c r="I250" s="45"/>
      <c r="J250" s="45"/>
    </row>
    <row r="251" spans="1:11" x14ac:dyDescent="0.25">
      <c r="A251" s="47" t="s">
        <v>283</v>
      </c>
      <c r="B251" s="223" t="s">
        <v>578</v>
      </c>
      <c r="C251" s="340"/>
      <c r="D251" s="340"/>
      <c r="E251" s="340"/>
      <c r="F251" s="340"/>
      <c r="G251" s="45"/>
      <c r="H251" s="45"/>
      <c r="I251" s="45"/>
      <c r="J251" s="45"/>
    </row>
    <row r="252" spans="1:11" x14ac:dyDescent="0.25">
      <c r="A252" s="340"/>
      <c r="B252" s="340"/>
      <c r="C252" s="340"/>
      <c r="D252" s="340"/>
      <c r="E252" s="340"/>
      <c r="F252" s="340"/>
      <c r="G252" s="45"/>
      <c r="H252" s="45"/>
      <c r="I252" s="45"/>
      <c r="J252" s="45"/>
    </row>
    <row r="253" spans="1:11" x14ac:dyDescent="0.25">
      <c r="A253" s="392"/>
      <c r="B253" s="392"/>
      <c r="C253" s="340"/>
      <c r="D253" s="340"/>
      <c r="E253" s="340"/>
      <c r="F253" s="340"/>
      <c r="G253" s="45"/>
      <c r="H253" s="45"/>
      <c r="I253" s="45"/>
      <c r="J253" s="45"/>
    </row>
  </sheetData>
  <mergeCells count="506">
    <mergeCell ref="A246:C246"/>
    <mergeCell ref="D247:E247"/>
    <mergeCell ref="A248:C248"/>
    <mergeCell ref="D249:E249"/>
    <mergeCell ref="A253:B253"/>
    <mergeCell ref="B235:D235"/>
    <mergeCell ref="E235:F235"/>
    <mergeCell ref="B236:D236"/>
    <mergeCell ref="E236:F236"/>
    <mergeCell ref="B237:D237"/>
    <mergeCell ref="E237:F237"/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19:J19"/>
    <mergeCell ref="A35:J35"/>
    <mergeCell ref="A39:J39"/>
    <mergeCell ref="A48:I48"/>
    <mergeCell ref="A49:I49"/>
    <mergeCell ref="A50:I50"/>
    <mergeCell ref="I9:I11"/>
    <mergeCell ref="J9:J11"/>
    <mergeCell ref="D10:D11"/>
    <mergeCell ref="E10:G10"/>
    <mergeCell ref="A13:J13"/>
    <mergeCell ref="A14:J14"/>
    <mergeCell ref="B56:D56"/>
    <mergeCell ref="E56:F56"/>
    <mergeCell ref="G56:H56"/>
    <mergeCell ref="I56:J56"/>
    <mergeCell ref="B57:D57"/>
    <mergeCell ref="E57:F57"/>
    <mergeCell ref="G57:H57"/>
    <mergeCell ref="I57:J57"/>
    <mergeCell ref="A51:I51"/>
    <mergeCell ref="A52:B52"/>
    <mergeCell ref="A53:B53"/>
    <mergeCell ref="A54:J54"/>
    <mergeCell ref="B55:D55"/>
    <mergeCell ref="E55:F55"/>
    <mergeCell ref="G55:H55"/>
    <mergeCell ref="I55:J55"/>
    <mergeCell ref="A62:J62"/>
    <mergeCell ref="B63:D63"/>
    <mergeCell ref="E63:F63"/>
    <mergeCell ref="I63:J63"/>
    <mergeCell ref="A64:J64"/>
    <mergeCell ref="B65:D65"/>
    <mergeCell ref="E65:F65"/>
    <mergeCell ref="I65:J65"/>
    <mergeCell ref="A58:B58"/>
    <mergeCell ref="A59:J59"/>
    <mergeCell ref="B60:D60"/>
    <mergeCell ref="E60:F60"/>
    <mergeCell ref="I60:J60"/>
    <mergeCell ref="B61:D61"/>
    <mergeCell ref="E61:F61"/>
    <mergeCell ref="I61:J61"/>
    <mergeCell ref="A69:J69"/>
    <mergeCell ref="B70:D70"/>
    <mergeCell ref="E70:F70"/>
    <mergeCell ref="I70:J70"/>
    <mergeCell ref="B71:D71"/>
    <mergeCell ref="E71:F71"/>
    <mergeCell ref="I71:J71"/>
    <mergeCell ref="A66:J66"/>
    <mergeCell ref="B67:D67"/>
    <mergeCell ref="E67:F67"/>
    <mergeCell ref="I67:J67"/>
    <mergeCell ref="B68:D68"/>
    <mergeCell ref="E68:F68"/>
    <mergeCell ref="I68:J68"/>
    <mergeCell ref="A74:J74"/>
    <mergeCell ref="B75:F75"/>
    <mergeCell ref="G75:H75"/>
    <mergeCell ref="I75:J75"/>
    <mergeCell ref="B76:F76"/>
    <mergeCell ref="G76:H76"/>
    <mergeCell ref="I76:J76"/>
    <mergeCell ref="B72:D72"/>
    <mergeCell ref="E72:F72"/>
    <mergeCell ref="I72:J72"/>
    <mergeCell ref="B73:D73"/>
    <mergeCell ref="E73:F73"/>
    <mergeCell ref="I73:J73"/>
    <mergeCell ref="B79:F79"/>
    <mergeCell ref="G79:H79"/>
    <mergeCell ref="I79:J79"/>
    <mergeCell ref="B80:F80"/>
    <mergeCell ref="G80:H80"/>
    <mergeCell ref="I80:J80"/>
    <mergeCell ref="B77:F77"/>
    <mergeCell ref="G77:H77"/>
    <mergeCell ref="I77:J77"/>
    <mergeCell ref="B78:F78"/>
    <mergeCell ref="G78:H78"/>
    <mergeCell ref="I78:J78"/>
    <mergeCell ref="B83:F83"/>
    <mergeCell ref="G83:H83"/>
    <mergeCell ref="I83:J83"/>
    <mergeCell ref="B84:F84"/>
    <mergeCell ref="G84:H84"/>
    <mergeCell ref="I84:J84"/>
    <mergeCell ref="B81:F81"/>
    <mergeCell ref="G81:H81"/>
    <mergeCell ref="I81:J81"/>
    <mergeCell ref="B82:F82"/>
    <mergeCell ref="G82:H82"/>
    <mergeCell ref="I82:J82"/>
    <mergeCell ref="B87:F87"/>
    <mergeCell ref="G87:H87"/>
    <mergeCell ref="I87:J87"/>
    <mergeCell ref="B88:F88"/>
    <mergeCell ref="G88:H88"/>
    <mergeCell ref="I88:J88"/>
    <mergeCell ref="B85:F85"/>
    <mergeCell ref="G85:H85"/>
    <mergeCell ref="I85:J85"/>
    <mergeCell ref="B86:F86"/>
    <mergeCell ref="G86:H86"/>
    <mergeCell ref="I86:J86"/>
    <mergeCell ref="B91:F91"/>
    <mergeCell ref="G91:H91"/>
    <mergeCell ref="I91:J91"/>
    <mergeCell ref="B92:F92"/>
    <mergeCell ref="G92:H92"/>
    <mergeCell ref="I92:J92"/>
    <mergeCell ref="B89:F89"/>
    <mergeCell ref="G89:H89"/>
    <mergeCell ref="I89:J89"/>
    <mergeCell ref="B90:F90"/>
    <mergeCell ref="G90:H90"/>
    <mergeCell ref="I90:J90"/>
    <mergeCell ref="B95:F95"/>
    <mergeCell ref="G95:H95"/>
    <mergeCell ref="I95:J95"/>
    <mergeCell ref="B96:F96"/>
    <mergeCell ref="G96:H96"/>
    <mergeCell ref="I96:J96"/>
    <mergeCell ref="B93:F93"/>
    <mergeCell ref="G93:H93"/>
    <mergeCell ref="I93:J93"/>
    <mergeCell ref="B94:F94"/>
    <mergeCell ref="G94:H94"/>
    <mergeCell ref="I94:J94"/>
    <mergeCell ref="K98:L98"/>
    <mergeCell ref="A99:J99"/>
    <mergeCell ref="A100:J100"/>
    <mergeCell ref="B103:D103"/>
    <mergeCell ref="E103:F103"/>
    <mergeCell ref="G103:H103"/>
    <mergeCell ref="I103:J103"/>
    <mergeCell ref="B97:F97"/>
    <mergeCell ref="G97:H97"/>
    <mergeCell ref="I97:J97"/>
    <mergeCell ref="B98:F98"/>
    <mergeCell ref="G98:H98"/>
    <mergeCell ref="I98:J98"/>
    <mergeCell ref="B106:D106"/>
    <mergeCell ref="E106:F106"/>
    <mergeCell ref="G106:H106"/>
    <mergeCell ref="I106:J106"/>
    <mergeCell ref="B107:D107"/>
    <mergeCell ref="E107:F107"/>
    <mergeCell ref="G107:H107"/>
    <mergeCell ref="I107:J107"/>
    <mergeCell ref="B104:D104"/>
    <mergeCell ref="E104:F104"/>
    <mergeCell ref="G104:H104"/>
    <mergeCell ref="I104:J104"/>
    <mergeCell ref="B105:D105"/>
    <mergeCell ref="E105:F105"/>
    <mergeCell ref="G105:H105"/>
    <mergeCell ref="I105:J105"/>
    <mergeCell ref="B108:D108"/>
    <mergeCell ref="E108:F108"/>
    <mergeCell ref="G108:H108"/>
    <mergeCell ref="I108:J108"/>
    <mergeCell ref="A109:J109"/>
    <mergeCell ref="B112:D112"/>
    <mergeCell ref="E112:F112"/>
    <mergeCell ref="G112:H112"/>
    <mergeCell ref="I112:J112"/>
    <mergeCell ref="B113:D113"/>
    <mergeCell ref="E113:F113"/>
    <mergeCell ref="G113:H113"/>
    <mergeCell ref="I113:J113"/>
    <mergeCell ref="K119:L119"/>
    <mergeCell ref="A114:A115"/>
    <mergeCell ref="B114:C115"/>
    <mergeCell ref="E114:F114"/>
    <mergeCell ref="G114:H114"/>
    <mergeCell ref="I114:J114"/>
    <mergeCell ref="E115:F115"/>
    <mergeCell ref="G115:H115"/>
    <mergeCell ref="I115:J115"/>
    <mergeCell ref="B117:D117"/>
    <mergeCell ref="E117:F117"/>
    <mergeCell ref="G117:H117"/>
    <mergeCell ref="I117:J117"/>
    <mergeCell ref="B118:D118"/>
    <mergeCell ref="E118:F118"/>
    <mergeCell ref="G118:H118"/>
    <mergeCell ref="I118:J118"/>
    <mergeCell ref="B116:D116"/>
    <mergeCell ref="E116:F116"/>
    <mergeCell ref="G116:H116"/>
    <mergeCell ref="I116:J116"/>
    <mergeCell ref="B123:D123"/>
    <mergeCell ref="E123:F123"/>
    <mergeCell ref="G123:H123"/>
    <mergeCell ref="I123:J123"/>
    <mergeCell ref="B124:D124"/>
    <mergeCell ref="E124:F124"/>
    <mergeCell ref="G124:H124"/>
    <mergeCell ref="I124:J124"/>
    <mergeCell ref="A119:J119"/>
    <mergeCell ref="B122:D122"/>
    <mergeCell ref="E122:F122"/>
    <mergeCell ref="G122:H122"/>
    <mergeCell ref="I122:J122"/>
    <mergeCell ref="B125:D125"/>
    <mergeCell ref="E125:F125"/>
    <mergeCell ref="G125:H125"/>
    <mergeCell ref="I125:J125"/>
    <mergeCell ref="A126:J126"/>
    <mergeCell ref="B129:D129"/>
    <mergeCell ref="E129:F129"/>
    <mergeCell ref="G129:H129"/>
    <mergeCell ref="I129:J129"/>
    <mergeCell ref="B132:D132"/>
    <mergeCell ref="E132:F132"/>
    <mergeCell ref="G132:H132"/>
    <mergeCell ref="I132:J132"/>
    <mergeCell ref="A133:J133"/>
    <mergeCell ref="A136:J136"/>
    <mergeCell ref="B130:D130"/>
    <mergeCell ref="E130:F130"/>
    <mergeCell ref="G130:H130"/>
    <mergeCell ref="I130:J130"/>
    <mergeCell ref="B131:D131"/>
    <mergeCell ref="E131:F131"/>
    <mergeCell ref="G131:H131"/>
    <mergeCell ref="I131:J131"/>
    <mergeCell ref="B139:D139"/>
    <mergeCell ref="G139:H139"/>
    <mergeCell ref="I139:J139"/>
    <mergeCell ref="B140:D140"/>
    <mergeCell ref="G140:H140"/>
    <mergeCell ref="I140:J140"/>
    <mergeCell ref="B137:D137"/>
    <mergeCell ref="G137:H137"/>
    <mergeCell ref="I137:J137"/>
    <mergeCell ref="B138:D138"/>
    <mergeCell ref="G138:H138"/>
    <mergeCell ref="I138:J138"/>
    <mergeCell ref="B143:D143"/>
    <mergeCell ref="G143:H143"/>
    <mergeCell ref="I143:J143"/>
    <mergeCell ref="B144:D144"/>
    <mergeCell ref="G144:H144"/>
    <mergeCell ref="I144:J144"/>
    <mergeCell ref="B141:D141"/>
    <mergeCell ref="G141:H141"/>
    <mergeCell ref="I141:J141"/>
    <mergeCell ref="B142:D142"/>
    <mergeCell ref="G142:H142"/>
    <mergeCell ref="I142:J142"/>
    <mergeCell ref="B149:D149"/>
    <mergeCell ref="E149:F149"/>
    <mergeCell ref="G149:H149"/>
    <mergeCell ref="I149:J149"/>
    <mergeCell ref="B150:D150"/>
    <mergeCell ref="E150:F150"/>
    <mergeCell ref="G150:H150"/>
    <mergeCell ref="I150:J150"/>
    <mergeCell ref="A146:J146"/>
    <mergeCell ref="B147:D147"/>
    <mergeCell ref="E147:F147"/>
    <mergeCell ref="G147:H147"/>
    <mergeCell ref="I147:J147"/>
    <mergeCell ref="B148:D148"/>
    <mergeCell ref="E148:F148"/>
    <mergeCell ref="G148:H148"/>
    <mergeCell ref="I148:J148"/>
    <mergeCell ref="B154:D154"/>
    <mergeCell ref="F154:G154"/>
    <mergeCell ref="I154:J154"/>
    <mergeCell ref="B155:D155"/>
    <mergeCell ref="F155:G155"/>
    <mergeCell ref="I155:J155"/>
    <mergeCell ref="A151:J151"/>
    <mergeCell ref="B152:D152"/>
    <mergeCell ref="F152:G152"/>
    <mergeCell ref="I152:J152"/>
    <mergeCell ref="B153:D153"/>
    <mergeCell ref="F153:G153"/>
    <mergeCell ref="I153:J153"/>
    <mergeCell ref="B158:D158"/>
    <mergeCell ref="F158:G158"/>
    <mergeCell ref="I158:J158"/>
    <mergeCell ref="B159:D159"/>
    <mergeCell ref="F159:G159"/>
    <mergeCell ref="I159:J159"/>
    <mergeCell ref="B156:D156"/>
    <mergeCell ref="F156:G156"/>
    <mergeCell ref="I156:J156"/>
    <mergeCell ref="B157:D157"/>
    <mergeCell ref="F157:G157"/>
    <mergeCell ref="I157:J157"/>
    <mergeCell ref="B162:D162"/>
    <mergeCell ref="F162:G162"/>
    <mergeCell ref="I162:J162"/>
    <mergeCell ref="B163:D163"/>
    <mergeCell ref="F163:G163"/>
    <mergeCell ref="I163:J163"/>
    <mergeCell ref="B160:D160"/>
    <mergeCell ref="F160:G160"/>
    <mergeCell ref="I160:J160"/>
    <mergeCell ref="B161:D161"/>
    <mergeCell ref="F161:G161"/>
    <mergeCell ref="I161:J161"/>
    <mergeCell ref="B166:D166"/>
    <mergeCell ref="F166:G166"/>
    <mergeCell ref="I166:J166"/>
    <mergeCell ref="B167:D167"/>
    <mergeCell ref="F167:G167"/>
    <mergeCell ref="I167:J167"/>
    <mergeCell ref="B164:D164"/>
    <mergeCell ref="F164:G164"/>
    <mergeCell ref="I164:J164"/>
    <mergeCell ref="B165:D165"/>
    <mergeCell ref="F165:G165"/>
    <mergeCell ref="I165:J165"/>
    <mergeCell ref="B171:D171"/>
    <mergeCell ref="E171:F171"/>
    <mergeCell ref="G171:H171"/>
    <mergeCell ref="I171:J171"/>
    <mergeCell ref="B172:D172"/>
    <mergeCell ref="E172:F172"/>
    <mergeCell ref="G172:H172"/>
    <mergeCell ref="I172:J172"/>
    <mergeCell ref="A168:J168"/>
    <mergeCell ref="B169:D169"/>
    <mergeCell ref="E169:F169"/>
    <mergeCell ref="G169:H169"/>
    <mergeCell ref="I169:J169"/>
    <mergeCell ref="B170:D170"/>
    <mergeCell ref="E170:F170"/>
    <mergeCell ref="G170:H170"/>
    <mergeCell ref="I170:J170"/>
    <mergeCell ref="B176:D176"/>
    <mergeCell ref="G176:J176"/>
    <mergeCell ref="B177:D177"/>
    <mergeCell ref="B178:D178"/>
    <mergeCell ref="B179:D179"/>
    <mergeCell ref="B180:D180"/>
    <mergeCell ref="A173:J173"/>
    <mergeCell ref="A174:A175"/>
    <mergeCell ref="B174:D175"/>
    <mergeCell ref="E174:E175"/>
    <mergeCell ref="F174:F175"/>
    <mergeCell ref="G174:J174"/>
    <mergeCell ref="B187:D187"/>
    <mergeCell ref="G187:J187"/>
    <mergeCell ref="A188:J188"/>
    <mergeCell ref="A189:A190"/>
    <mergeCell ref="B189:D190"/>
    <mergeCell ref="E189:F190"/>
    <mergeCell ref="G189:J189"/>
    <mergeCell ref="B181:D181"/>
    <mergeCell ref="B182:D182"/>
    <mergeCell ref="B183:D183"/>
    <mergeCell ref="B184:D184"/>
    <mergeCell ref="B185:D185"/>
    <mergeCell ref="B186:D186"/>
    <mergeCell ref="B194:D194"/>
    <mergeCell ref="E194:F194"/>
    <mergeCell ref="B195:D195"/>
    <mergeCell ref="E195:F195"/>
    <mergeCell ref="B196:D196"/>
    <mergeCell ref="E196:F196"/>
    <mergeCell ref="B191:D191"/>
    <mergeCell ref="E191:F191"/>
    <mergeCell ref="G191:J191"/>
    <mergeCell ref="B192:D192"/>
    <mergeCell ref="E192:F192"/>
    <mergeCell ref="B193:D193"/>
    <mergeCell ref="E193:F193"/>
    <mergeCell ref="B200:D200"/>
    <mergeCell ref="E200:F200"/>
    <mergeCell ref="B201:D201"/>
    <mergeCell ref="E201:F201"/>
    <mergeCell ref="B202:D202"/>
    <mergeCell ref="E202:F202"/>
    <mergeCell ref="B197:D197"/>
    <mergeCell ref="E197:F197"/>
    <mergeCell ref="B198:D198"/>
    <mergeCell ref="E198:F198"/>
    <mergeCell ref="B199:D199"/>
    <mergeCell ref="E199:F199"/>
    <mergeCell ref="B203:D203"/>
    <mergeCell ref="E203:F203"/>
    <mergeCell ref="G203:J203"/>
    <mergeCell ref="A204:J204"/>
    <mergeCell ref="B208:D208"/>
    <mergeCell ref="E208:F208"/>
    <mergeCell ref="G208:H208"/>
    <mergeCell ref="I208:J208"/>
    <mergeCell ref="B205:D205"/>
    <mergeCell ref="E205:F205"/>
    <mergeCell ref="G205:H205"/>
    <mergeCell ref="I205:J205"/>
    <mergeCell ref="B207:D207"/>
    <mergeCell ref="E207:F207"/>
    <mergeCell ref="G207:H207"/>
    <mergeCell ref="I207:J207"/>
    <mergeCell ref="B206:D206"/>
    <mergeCell ref="E206:F206"/>
    <mergeCell ref="G206:H206"/>
    <mergeCell ref="I206:J206"/>
    <mergeCell ref="A209:J209"/>
    <mergeCell ref="B212:D212"/>
    <mergeCell ref="G212:H212"/>
    <mergeCell ref="I212:J212"/>
    <mergeCell ref="B213:D213"/>
    <mergeCell ref="G213:H213"/>
    <mergeCell ref="I213:J213"/>
    <mergeCell ref="B210:D210"/>
    <mergeCell ref="G210:H210"/>
    <mergeCell ref="I210:J210"/>
    <mergeCell ref="B211:D211"/>
    <mergeCell ref="G211:H211"/>
    <mergeCell ref="I211:J211"/>
    <mergeCell ref="E210:F210"/>
    <mergeCell ref="E211:F211"/>
    <mergeCell ref="B216:D216"/>
    <mergeCell ref="G216:H216"/>
    <mergeCell ref="I216:J216"/>
    <mergeCell ref="B217:D217"/>
    <mergeCell ref="G217:H217"/>
    <mergeCell ref="I217:J217"/>
    <mergeCell ref="B214:D214"/>
    <mergeCell ref="G214:H214"/>
    <mergeCell ref="I214:J214"/>
    <mergeCell ref="B215:D215"/>
    <mergeCell ref="G215:H215"/>
    <mergeCell ref="I215:J215"/>
    <mergeCell ref="B221:D221"/>
    <mergeCell ref="E221:F221"/>
    <mergeCell ref="G221:H221"/>
    <mergeCell ref="I221:J221"/>
    <mergeCell ref="B218:D218"/>
    <mergeCell ref="G218:H218"/>
    <mergeCell ref="I218:J218"/>
    <mergeCell ref="B219:D219"/>
    <mergeCell ref="G219:H219"/>
    <mergeCell ref="I219:J219"/>
    <mergeCell ref="B220:D220"/>
    <mergeCell ref="G220:H220"/>
    <mergeCell ref="I220:J220"/>
    <mergeCell ref="A222:J222"/>
    <mergeCell ref="B227:D227"/>
    <mergeCell ref="G227:H227"/>
    <mergeCell ref="I227:J227"/>
    <mergeCell ref="A223:J223"/>
    <mergeCell ref="B224:D224"/>
    <mergeCell ref="G224:H224"/>
    <mergeCell ref="I224:J224"/>
    <mergeCell ref="B225:D225"/>
    <mergeCell ref="G225:H225"/>
    <mergeCell ref="I225:J225"/>
    <mergeCell ref="E224:F224"/>
    <mergeCell ref="E225:F225"/>
    <mergeCell ref="A226:J226"/>
    <mergeCell ref="B228:D228"/>
    <mergeCell ref="G228:H228"/>
    <mergeCell ref="I228:J228"/>
    <mergeCell ref="B229:D229"/>
    <mergeCell ref="G229:H229"/>
    <mergeCell ref="I229:J229"/>
    <mergeCell ref="B230:D230"/>
    <mergeCell ref="G230:H230"/>
    <mergeCell ref="I230:J230"/>
    <mergeCell ref="I240:J240"/>
    <mergeCell ref="I242:J242"/>
    <mergeCell ref="A244:C244"/>
    <mergeCell ref="D245:E245"/>
    <mergeCell ref="A231:J231"/>
    <mergeCell ref="B234:D234"/>
    <mergeCell ref="E234:F234"/>
    <mergeCell ref="A232:A233"/>
    <mergeCell ref="B232:D233"/>
    <mergeCell ref="E232:F233"/>
    <mergeCell ref="G232:J232"/>
    <mergeCell ref="G234:J234"/>
    <mergeCell ref="B238:D238"/>
    <mergeCell ref="E238:F238"/>
    <mergeCell ref="G238:J238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view="pageBreakPreview" topLeftCell="A221" zoomScale="60" zoomScaleNormal="100" workbookViewId="0">
      <selection activeCell="A5" sqref="A5:J5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3" width="9.140625" style="1"/>
    <col min="4" max="4" width="17.140625" style="1" customWidth="1"/>
    <col min="5" max="5" width="13.140625" style="1" customWidth="1"/>
    <col min="6" max="6" width="10.7109375" style="1" customWidth="1"/>
    <col min="7" max="7" width="12.28515625" style="1" customWidth="1"/>
    <col min="8" max="8" width="10.7109375" style="1" customWidth="1"/>
    <col min="9" max="9" width="11.5703125" style="1" customWidth="1"/>
    <col min="10" max="10" width="17.5703125" style="1" customWidth="1"/>
    <col min="11" max="11" width="16.42578125" style="1" customWidth="1"/>
    <col min="12" max="12" width="18.140625" style="1" customWidth="1"/>
    <col min="13" max="13" width="9.7109375" style="1" customWidth="1"/>
    <col min="14" max="14" width="14" style="1" customWidth="1"/>
    <col min="15" max="16384" width="9.140625" style="1"/>
  </cols>
  <sheetData>
    <row r="1" spans="1:11" ht="26.25" customHeight="1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34.5" customHeight="1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31.5" customHeight="1" x14ac:dyDescent="0.25">
      <c r="A3" s="432" t="s">
        <v>371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5.75" x14ac:dyDescent="0.25">
      <c r="A4" s="92"/>
      <c r="B4" s="93"/>
      <c r="C4" s="93"/>
      <c r="D4" s="94" t="s">
        <v>266</v>
      </c>
      <c r="E4" s="345">
        <v>2022</v>
      </c>
      <c r="F4" s="96" t="s">
        <v>648</v>
      </c>
      <c r="G4" s="93"/>
      <c r="H4" s="93"/>
      <c r="I4" s="93"/>
      <c r="J4" s="93"/>
    </row>
    <row r="5" spans="1:11" ht="15.75" x14ac:dyDescent="0.25">
      <c r="A5" s="433" t="s">
        <v>0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1" ht="19.5" customHeight="1" x14ac:dyDescent="0.25">
      <c r="A6" s="92" t="s">
        <v>80</v>
      </c>
      <c r="B6" s="93"/>
      <c r="C6" s="97">
        <v>111</v>
      </c>
      <c r="D6" s="97">
        <v>112</v>
      </c>
      <c r="E6" s="97">
        <v>119</v>
      </c>
      <c r="F6" s="98"/>
      <c r="G6" s="98"/>
      <c r="H6" s="98"/>
      <c r="I6" s="98"/>
      <c r="J6" s="98"/>
    </row>
    <row r="7" spans="1:11" ht="22.5" customHeight="1" x14ac:dyDescent="0.25">
      <c r="A7" s="92" t="s">
        <v>81</v>
      </c>
      <c r="B7" s="93"/>
      <c r="C7" s="93"/>
      <c r="D7" s="93"/>
      <c r="E7" s="99" t="s">
        <v>82</v>
      </c>
      <c r="F7" s="100"/>
      <c r="G7" s="99"/>
      <c r="H7" s="100"/>
      <c r="I7" s="100"/>
      <c r="J7" s="100"/>
    </row>
    <row r="8" spans="1:11" ht="21" customHeight="1" x14ac:dyDescent="0.25">
      <c r="A8" s="434" t="s">
        <v>351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1" x14ac:dyDescent="0.25">
      <c r="A9" s="435" t="s">
        <v>1</v>
      </c>
      <c r="B9" s="410" t="s">
        <v>2</v>
      </c>
      <c r="C9" s="410" t="s">
        <v>3</v>
      </c>
      <c r="D9" s="435" t="s">
        <v>4</v>
      </c>
      <c r="E9" s="435"/>
      <c r="F9" s="435"/>
      <c r="G9" s="435"/>
      <c r="H9" s="435" t="s">
        <v>5</v>
      </c>
      <c r="I9" s="410" t="s">
        <v>6</v>
      </c>
      <c r="J9" s="410" t="s">
        <v>316</v>
      </c>
    </row>
    <row r="10" spans="1:11" ht="33" customHeight="1" x14ac:dyDescent="0.25">
      <c r="A10" s="435"/>
      <c r="B10" s="410"/>
      <c r="C10" s="410"/>
      <c r="D10" s="410" t="s">
        <v>8</v>
      </c>
      <c r="E10" s="410" t="s">
        <v>9</v>
      </c>
      <c r="F10" s="410"/>
      <c r="G10" s="410"/>
      <c r="H10" s="435"/>
      <c r="I10" s="410"/>
      <c r="J10" s="410"/>
    </row>
    <row r="11" spans="1:11" ht="75" x14ac:dyDescent="0.25">
      <c r="A11" s="435"/>
      <c r="B11" s="410"/>
      <c r="C11" s="410"/>
      <c r="D11" s="410"/>
      <c r="E11" s="355" t="s">
        <v>10</v>
      </c>
      <c r="F11" s="355" t="s">
        <v>11</v>
      </c>
      <c r="G11" s="355" t="s">
        <v>12</v>
      </c>
      <c r="H11" s="435"/>
      <c r="I11" s="410"/>
      <c r="J11" s="410"/>
    </row>
    <row r="12" spans="1:11" ht="14.25" customHeight="1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>
        <v>10</v>
      </c>
    </row>
    <row r="13" spans="1:11" s="41" customFormat="1" x14ac:dyDescent="0.2">
      <c r="A13" s="409" t="s">
        <v>352</v>
      </c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1" s="41" customFormat="1" x14ac:dyDescent="0.2">
      <c r="A14" s="438" t="s">
        <v>319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1" ht="20.25" customHeight="1" x14ac:dyDescent="0.25">
      <c r="A15" s="354">
        <v>1</v>
      </c>
      <c r="B15" s="130" t="s">
        <v>261</v>
      </c>
      <c r="C15" s="354">
        <v>1</v>
      </c>
      <c r="D15" s="131">
        <f>E15+F15+G15</f>
        <v>29935.200000000001</v>
      </c>
      <c r="E15" s="131">
        <v>24946</v>
      </c>
      <c r="F15" s="131"/>
      <c r="G15" s="131">
        <v>4989.2</v>
      </c>
      <c r="H15" s="132">
        <v>50</v>
      </c>
      <c r="I15" s="354">
        <v>1.7</v>
      </c>
      <c r="J15" s="133">
        <f>((C15*D15*(H15/100+I15))*12)</f>
        <v>790289.28</v>
      </c>
      <c r="K15" s="150"/>
    </row>
    <row r="16" spans="1:11" ht="20.25" customHeight="1" x14ac:dyDescent="0.25">
      <c r="A16" s="354">
        <v>2</v>
      </c>
      <c r="B16" s="130" t="s">
        <v>514</v>
      </c>
      <c r="C16" s="354">
        <v>3</v>
      </c>
      <c r="D16" s="131">
        <f>E16+F16+G16</f>
        <v>25887.599999999999</v>
      </c>
      <c r="E16" s="131">
        <v>21573</v>
      </c>
      <c r="F16" s="131"/>
      <c r="G16" s="131">
        <v>4314.6000000000004</v>
      </c>
      <c r="H16" s="132">
        <v>50</v>
      </c>
      <c r="I16" s="354">
        <v>1.7</v>
      </c>
      <c r="J16" s="133">
        <f>((C16*D16*(H16/100+I16))*12)</f>
        <v>2050297.9199999997</v>
      </c>
    </row>
    <row r="17" spans="1:11" x14ac:dyDescent="0.25">
      <c r="A17" s="354">
        <v>3</v>
      </c>
      <c r="B17" s="130" t="s">
        <v>262</v>
      </c>
      <c r="C17" s="354">
        <v>1</v>
      </c>
      <c r="D17" s="131">
        <f t="shared" ref="D17:D46" si="0">E17+F17+G17</f>
        <v>25693.200000000001</v>
      </c>
      <c r="E17" s="131">
        <v>21411</v>
      </c>
      <c r="F17" s="131"/>
      <c r="G17" s="131">
        <v>4282.2</v>
      </c>
      <c r="H17" s="132">
        <v>50</v>
      </c>
      <c r="I17" s="354">
        <v>1.7</v>
      </c>
      <c r="J17" s="133">
        <f t="shared" ref="J17" si="1">((C17*D17*(H17/100+I17))*12)</f>
        <v>678300.4800000001</v>
      </c>
    </row>
    <row r="18" spans="1:11" x14ac:dyDescent="0.25">
      <c r="A18" s="134"/>
      <c r="B18" s="135" t="s">
        <v>320</v>
      </c>
      <c r="C18" s="136">
        <f>SUM(C15:C17)</f>
        <v>5</v>
      </c>
      <c r="D18" s="137">
        <f>SUM(D15:D17)</f>
        <v>81516</v>
      </c>
      <c r="E18" s="136" t="s">
        <v>14</v>
      </c>
      <c r="F18" s="136" t="s">
        <v>14</v>
      </c>
      <c r="G18" s="136" t="s">
        <v>14</v>
      </c>
      <c r="H18" s="136" t="s">
        <v>14</v>
      </c>
      <c r="I18" s="136" t="s">
        <v>14</v>
      </c>
      <c r="J18" s="137">
        <f>SUM(J15:J17)</f>
        <v>3518887.6799999997</v>
      </c>
      <c r="K18" s="151"/>
    </row>
    <row r="19" spans="1:11" x14ac:dyDescent="0.25">
      <c r="A19" s="436" t="s">
        <v>321</v>
      </c>
      <c r="B19" s="437"/>
      <c r="C19" s="437"/>
      <c r="D19" s="437"/>
      <c r="E19" s="437"/>
      <c r="F19" s="437"/>
      <c r="G19" s="437"/>
      <c r="H19" s="437"/>
      <c r="I19" s="437"/>
      <c r="J19" s="437"/>
    </row>
    <row r="20" spans="1:11" x14ac:dyDescent="0.25">
      <c r="A20" s="354">
        <v>4</v>
      </c>
      <c r="B20" s="130" t="s">
        <v>515</v>
      </c>
      <c r="C20" s="354">
        <v>6</v>
      </c>
      <c r="D20" s="131">
        <f>E20+F20+G20</f>
        <v>12409.2</v>
      </c>
      <c r="E20" s="149">
        <v>10341</v>
      </c>
      <c r="F20" s="131"/>
      <c r="G20" s="131">
        <f>E20*20%</f>
        <v>2068.2000000000003</v>
      </c>
      <c r="H20" s="132">
        <v>50</v>
      </c>
      <c r="I20" s="354">
        <v>1.7</v>
      </c>
      <c r="J20" s="153">
        <f>(C20*D20*(H20/100+I20))*12</f>
        <v>1965617.2800000003</v>
      </c>
      <c r="K20" s="147"/>
    </row>
    <row r="21" spans="1:11" x14ac:dyDescent="0.25">
      <c r="A21" s="354">
        <v>5</v>
      </c>
      <c r="B21" s="130" t="s">
        <v>516</v>
      </c>
      <c r="C21" s="354">
        <v>1</v>
      </c>
      <c r="D21" s="131">
        <f t="shared" si="0"/>
        <v>14373.6</v>
      </c>
      <c r="E21" s="149">
        <v>11978</v>
      </c>
      <c r="F21" s="131"/>
      <c r="G21" s="131">
        <f t="shared" ref="G21:G33" si="2">E21*20%</f>
        <v>2395.6</v>
      </c>
      <c r="H21" s="132">
        <v>50</v>
      </c>
      <c r="I21" s="354">
        <v>1.7</v>
      </c>
      <c r="J21" s="153">
        <f t="shared" ref="J21:J33" si="3">(C21*D21*(H21/100+I21))*12</f>
        <v>379463.04000000004</v>
      </c>
    </row>
    <row r="22" spans="1:11" x14ac:dyDescent="0.25">
      <c r="A22" s="354">
        <v>6</v>
      </c>
      <c r="B22" s="130" t="s">
        <v>373</v>
      </c>
      <c r="C22" s="354">
        <v>2</v>
      </c>
      <c r="D22" s="131">
        <f t="shared" si="0"/>
        <v>12248.4</v>
      </c>
      <c r="E22" s="149">
        <v>10207</v>
      </c>
      <c r="F22" s="131"/>
      <c r="G22" s="131">
        <f t="shared" si="2"/>
        <v>2041.4</v>
      </c>
      <c r="H22" s="132">
        <v>50</v>
      </c>
      <c r="I22" s="354">
        <v>1.7</v>
      </c>
      <c r="J22" s="153">
        <f t="shared" si="3"/>
        <v>646715.52</v>
      </c>
    </row>
    <row r="23" spans="1:11" x14ac:dyDescent="0.25">
      <c r="A23" s="354">
        <v>7</v>
      </c>
      <c r="B23" s="130" t="s">
        <v>373</v>
      </c>
      <c r="C23" s="354">
        <v>1.5</v>
      </c>
      <c r="D23" s="131">
        <f t="shared" si="0"/>
        <v>11432.4</v>
      </c>
      <c r="E23" s="149">
        <v>9527</v>
      </c>
      <c r="F23" s="131"/>
      <c r="G23" s="131">
        <f t="shared" si="2"/>
        <v>1905.4</v>
      </c>
      <c r="H23" s="132">
        <v>50</v>
      </c>
      <c r="I23" s="354">
        <v>1.7</v>
      </c>
      <c r="J23" s="153">
        <f t="shared" si="3"/>
        <v>452723.04</v>
      </c>
    </row>
    <row r="24" spans="1:11" ht="30" x14ac:dyDescent="0.25">
      <c r="A24" s="354">
        <v>8</v>
      </c>
      <c r="B24" s="130" t="s">
        <v>323</v>
      </c>
      <c r="C24" s="354">
        <v>1</v>
      </c>
      <c r="D24" s="131">
        <f t="shared" si="0"/>
        <v>12248.4</v>
      </c>
      <c r="E24" s="149">
        <v>10207</v>
      </c>
      <c r="F24" s="131"/>
      <c r="G24" s="131">
        <f t="shared" si="2"/>
        <v>2041.4</v>
      </c>
      <c r="H24" s="132">
        <v>50</v>
      </c>
      <c r="I24" s="354">
        <v>1.7</v>
      </c>
      <c r="J24" s="153">
        <f t="shared" si="3"/>
        <v>323357.76</v>
      </c>
    </row>
    <row r="25" spans="1:11" x14ac:dyDescent="0.25">
      <c r="A25" s="354">
        <v>9</v>
      </c>
      <c r="B25" s="130" t="s">
        <v>372</v>
      </c>
      <c r="C25" s="354">
        <v>0.5</v>
      </c>
      <c r="D25" s="131">
        <f t="shared" si="0"/>
        <v>12248.4</v>
      </c>
      <c r="E25" s="149">
        <v>10207</v>
      </c>
      <c r="F25" s="131"/>
      <c r="G25" s="131">
        <f t="shared" si="2"/>
        <v>2041.4</v>
      </c>
      <c r="H25" s="132">
        <v>50</v>
      </c>
      <c r="I25" s="354">
        <v>1.7</v>
      </c>
      <c r="J25" s="153">
        <f t="shared" si="3"/>
        <v>161678.88</v>
      </c>
      <c r="K25" s="89"/>
    </row>
    <row r="26" spans="1:11" hidden="1" x14ac:dyDescent="0.25">
      <c r="A26" s="354">
        <v>14</v>
      </c>
      <c r="B26" s="130" t="s">
        <v>322</v>
      </c>
      <c r="C26" s="354"/>
      <c r="D26" s="131">
        <f t="shared" si="0"/>
        <v>0</v>
      </c>
      <c r="E26" s="149"/>
      <c r="F26" s="131"/>
      <c r="G26" s="131">
        <f t="shared" si="2"/>
        <v>0</v>
      </c>
      <c r="H26" s="132">
        <v>50</v>
      </c>
      <c r="I26" s="354">
        <v>1.7</v>
      </c>
      <c r="J26" s="153">
        <f t="shared" si="3"/>
        <v>0</v>
      </c>
      <c r="K26" s="89"/>
    </row>
    <row r="27" spans="1:11" ht="30" x14ac:dyDescent="0.25">
      <c r="A27" s="354">
        <v>10</v>
      </c>
      <c r="B27" s="130" t="s">
        <v>517</v>
      </c>
      <c r="C27" s="354">
        <v>0.5</v>
      </c>
      <c r="D27" s="131">
        <f t="shared" si="0"/>
        <v>12248.4</v>
      </c>
      <c r="E27" s="149">
        <v>10207</v>
      </c>
      <c r="F27" s="131"/>
      <c r="G27" s="131">
        <f t="shared" si="2"/>
        <v>2041.4</v>
      </c>
      <c r="H27" s="132">
        <v>50</v>
      </c>
      <c r="I27" s="354">
        <v>1.7</v>
      </c>
      <c r="J27" s="153">
        <f t="shared" si="3"/>
        <v>161678.88</v>
      </c>
      <c r="K27" s="150"/>
    </row>
    <row r="28" spans="1:11" x14ac:dyDescent="0.25">
      <c r="A28" s="354">
        <v>11</v>
      </c>
      <c r="B28" s="130" t="s">
        <v>518</v>
      </c>
      <c r="C28" s="354">
        <v>1.5</v>
      </c>
      <c r="D28" s="131">
        <f t="shared" si="0"/>
        <v>12248.4</v>
      </c>
      <c r="E28" s="149">
        <v>10207</v>
      </c>
      <c r="F28" s="131"/>
      <c r="G28" s="131">
        <f t="shared" si="2"/>
        <v>2041.4</v>
      </c>
      <c r="H28" s="132">
        <v>50</v>
      </c>
      <c r="I28" s="354">
        <v>1.7</v>
      </c>
      <c r="J28" s="153">
        <f t="shared" si="3"/>
        <v>485036.64</v>
      </c>
    </row>
    <row r="29" spans="1:11" ht="30" x14ac:dyDescent="0.25">
      <c r="A29" s="354">
        <v>12</v>
      </c>
      <c r="B29" s="130" t="s">
        <v>519</v>
      </c>
      <c r="C29" s="354">
        <v>1</v>
      </c>
      <c r="D29" s="131">
        <f t="shared" si="0"/>
        <v>12248.4</v>
      </c>
      <c r="E29" s="149">
        <v>10207</v>
      </c>
      <c r="F29" s="131"/>
      <c r="G29" s="131">
        <f t="shared" si="2"/>
        <v>2041.4</v>
      </c>
      <c r="H29" s="132">
        <v>50</v>
      </c>
      <c r="I29" s="354">
        <v>1.7</v>
      </c>
      <c r="J29" s="153">
        <f t="shared" si="3"/>
        <v>323357.76</v>
      </c>
    </row>
    <row r="30" spans="1:11" x14ac:dyDescent="0.25">
      <c r="A30" s="354">
        <v>13</v>
      </c>
      <c r="B30" s="130" t="s">
        <v>520</v>
      </c>
      <c r="C30" s="354">
        <v>1</v>
      </c>
      <c r="D30" s="131">
        <f t="shared" si="0"/>
        <v>10615.2</v>
      </c>
      <c r="E30" s="149">
        <v>8846</v>
      </c>
      <c r="F30" s="131"/>
      <c r="G30" s="131">
        <f t="shared" si="2"/>
        <v>1769.2</v>
      </c>
      <c r="H30" s="132">
        <v>50</v>
      </c>
      <c r="I30" s="354">
        <v>1.7</v>
      </c>
      <c r="J30" s="153">
        <f t="shared" si="3"/>
        <v>280241.28000000003</v>
      </c>
    </row>
    <row r="31" spans="1:11" x14ac:dyDescent="0.25">
      <c r="A31" s="354">
        <v>14</v>
      </c>
      <c r="B31" s="130" t="s">
        <v>521</v>
      </c>
      <c r="C31" s="354">
        <v>1</v>
      </c>
      <c r="D31" s="131">
        <f>E31+F31+G31</f>
        <v>12248.4</v>
      </c>
      <c r="E31" s="149">
        <v>10207</v>
      </c>
      <c r="F31" s="131"/>
      <c r="G31" s="131">
        <f t="shared" si="2"/>
        <v>2041.4</v>
      </c>
      <c r="H31" s="132">
        <v>50</v>
      </c>
      <c r="I31" s="354">
        <v>1.7</v>
      </c>
      <c r="J31" s="153">
        <f t="shared" si="3"/>
        <v>323357.76</v>
      </c>
    </row>
    <row r="32" spans="1:11" ht="30" x14ac:dyDescent="0.25">
      <c r="A32" s="354">
        <v>15</v>
      </c>
      <c r="B32" s="130" t="s">
        <v>522</v>
      </c>
      <c r="C32" s="354">
        <v>10</v>
      </c>
      <c r="D32" s="131">
        <f t="shared" ref="D32:D33" si="4">E32+F32+G32</f>
        <v>12248.4</v>
      </c>
      <c r="E32" s="149">
        <v>10207</v>
      </c>
      <c r="F32" s="131"/>
      <c r="G32" s="131">
        <f t="shared" si="2"/>
        <v>2041.4</v>
      </c>
      <c r="H32" s="132">
        <v>50</v>
      </c>
      <c r="I32" s="354">
        <v>1.7</v>
      </c>
      <c r="J32" s="153">
        <f t="shared" si="3"/>
        <v>3233577.6000000006</v>
      </c>
    </row>
    <row r="33" spans="1:11" x14ac:dyDescent="0.25">
      <c r="A33" s="354">
        <v>16</v>
      </c>
      <c r="B33" s="130" t="s">
        <v>523</v>
      </c>
      <c r="C33" s="354">
        <v>2</v>
      </c>
      <c r="D33" s="131">
        <f t="shared" si="4"/>
        <v>12249.6</v>
      </c>
      <c r="E33" s="149">
        <v>10208</v>
      </c>
      <c r="F33" s="131"/>
      <c r="G33" s="131">
        <f t="shared" si="2"/>
        <v>2041.6000000000001</v>
      </c>
      <c r="H33" s="132">
        <v>50</v>
      </c>
      <c r="I33" s="354">
        <v>1.7</v>
      </c>
      <c r="J33" s="153">
        <f t="shared" si="3"/>
        <v>646778.88000000012</v>
      </c>
    </row>
    <row r="34" spans="1:11" x14ac:dyDescent="0.25">
      <c r="A34" s="134"/>
      <c r="B34" s="135" t="s">
        <v>324</v>
      </c>
      <c r="C34" s="136">
        <f>SUM(C20:C33)</f>
        <v>29</v>
      </c>
      <c r="D34" s="138">
        <f>SUM(D20:D31)</f>
        <v>134569.19999999998</v>
      </c>
      <c r="E34" s="136" t="s">
        <v>14</v>
      </c>
      <c r="F34" s="136" t="s">
        <v>14</v>
      </c>
      <c r="G34" s="136" t="s">
        <v>14</v>
      </c>
      <c r="H34" s="136" t="s">
        <v>14</v>
      </c>
      <c r="I34" s="136" t="s">
        <v>14</v>
      </c>
      <c r="J34" s="138">
        <f>SUM(J20:J33)</f>
        <v>9383584.3200000022</v>
      </c>
    </row>
    <row r="35" spans="1:11" x14ac:dyDescent="0.25">
      <c r="A35" s="436" t="s">
        <v>325</v>
      </c>
      <c r="B35" s="437"/>
      <c r="C35" s="437"/>
      <c r="D35" s="437"/>
      <c r="E35" s="437"/>
      <c r="F35" s="437"/>
      <c r="G35" s="437"/>
      <c r="H35" s="437"/>
      <c r="I35" s="437"/>
      <c r="J35" s="437"/>
    </row>
    <row r="36" spans="1:11" x14ac:dyDescent="0.25">
      <c r="A36" s="354">
        <v>17</v>
      </c>
      <c r="B36" s="130" t="s">
        <v>524</v>
      </c>
      <c r="C36" s="354">
        <v>0.5</v>
      </c>
      <c r="D36" s="131">
        <f t="shared" si="0"/>
        <v>10615.2</v>
      </c>
      <c r="E36" s="149">
        <v>8846</v>
      </c>
      <c r="F36" s="131"/>
      <c r="G36" s="131">
        <f>E36*20%</f>
        <v>1769.2</v>
      </c>
      <c r="H36" s="132">
        <v>50</v>
      </c>
      <c r="I36" s="354">
        <v>1.7</v>
      </c>
      <c r="J36" s="133">
        <f t="shared" ref="J36:J37" si="5">(C36*D36*(H36/100+I36))*12</f>
        <v>140120.64000000001</v>
      </c>
      <c r="K36" s="150"/>
    </row>
    <row r="37" spans="1:11" x14ac:dyDescent="0.25">
      <c r="A37" s="354">
        <v>18</v>
      </c>
      <c r="B37" s="130" t="s">
        <v>326</v>
      </c>
      <c r="C37" s="354">
        <v>0.5</v>
      </c>
      <c r="D37" s="131">
        <f t="shared" si="0"/>
        <v>12248.4</v>
      </c>
      <c r="E37" s="149">
        <v>10207</v>
      </c>
      <c r="F37" s="131"/>
      <c r="G37" s="131">
        <f>E37*20%</f>
        <v>2041.4</v>
      </c>
      <c r="H37" s="132">
        <v>50</v>
      </c>
      <c r="I37" s="354">
        <v>1.7</v>
      </c>
      <c r="J37" s="133">
        <f t="shared" si="5"/>
        <v>161678.88</v>
      </c>
    </row>
    <row r="38" spans="1:11" x14ac:dyDescent="0.25">
      <c r="A38" s="134"/>
      <c r="B38" s="135" t="s">
        <v>327</v>
      </c>
      <c r="C38" s="136">
        <f>SUM(C36:C37)</f>
        <v>1</v>
      </c>
      <c r="D38" s="138">
        <f>SUM(D36:D37)</f>
        <v>22863.599999999999</v>
      </c>
      <c r="E38" s="136" t="s">
        <v>14</v>
      </c>
      <c r="F38" s="136" t="s">
        <v>14</v>
      </c>
      <c r="G38" s="136" t="s">
        <v>14</v>
      </c>
      <c r="H38" s="136" t="s">
        <v>14</v>
      </c>
      <c r="I38" s="136" t="s">
        <v>14</v>
      </c>
      <c r="J38" s="139">
        <f>SUM(J36:J37)</f>
        <v>301799.52</v>
      </c>
    </row>
    <row r="39" spans="1:11" x14ac:dyDescent="0.25">
      <c r="A39" s="436" t="s">
        <v>328</v>
      </c>
      <c r="B39" s="439"/>
      <c r="C39" s="439"/>
      <c r="D39" s="439"/>
      <c r="E39" s="439"/>
      <c r="F39" s="439"/>
      <c r="G39" s="439"/>
      <c r="H39" s="439"/>
      <c r="I39" s="439"/>
      <c r="J39" s="439"/>
    </row>
    <row r="40" spans="1:11" x14ac:dyDescent="0.25">
      <c r="A40" s="354">
        <v>19</v>
      </c>
      <c r="B40" s="130" t="s">
        <v>525</v>
      </c>
      <c r="C40" s="354">
        <v>1.5</v>
      </c>
      <c r="D40" s="131">
        <f t="shared" si="0"/>
        <v>11472</v>
      </c>
      <c r="E40" s="149">
        <v>9560</v>
      </c>
      <c r="F40" s="131"/>
      <c r="G40" s="131">
        <f>E40*20%</f>
        <v>1912</v>
      </c>
      <c r="H40" s="132">
        <v>50</v>
      </c>
      <c r="I40" s="354">
        <v>1.7</v>
      </c>
      <c r="J40" s="133">
        <f>((C40*D40*(H40/100+I40))*12)</f>
        <v>454291.20000000007</v>
      </c>
      <c r="K40" s="150"/>
    </row>
    <row r="41" spans="1:11" x14ac:dyDescent="0.25">
      <c r="A41" s="354">
        <v>20</v>
      </c>
      <c r="B41" s="130" t="s">
        <v>526</v>
      </c>
      <c r="C41" s="354">
        <v>5.8</v>
      </c>
      <c r="D41" s="131">
        <f>E41+F41+G41</f>
        <v>11472</v>
      </c>
      <c r="E41" s="149">
        <v>9560</v>
      </c>
      <c r="F41" s="131"/>
      <c r="G41" s="131">
        <f t="shared" ref="G41:G46" si="6">E41*20%</f>
        <v>1912</v>
      </c>
      <c r="H41" s="132">
        <v>50</v>
      </c>
      <c r="I41" s="354">
        <v>1.7</v>
      </c>
      <c r="J41" s="133">
        <f t="shared" ref="J41:J46" si="7">((C41*D41*(H41/100+I41))*12)</f>
        <v>1756592.6400000001</v>
      </c>
      <c r="K41" s="150"/>
    </row>
    <row r="42" spans="1:11" x14ac:dyDescent="0.25">
      <c r="A42" s="354">
        <v>21</v>
      </c>
      <c r="B42" s="130" t="s">
        <v>527</v>
      </c>
      <c r="C42" s="354">
        <v>2</v>
      </c>
      <c r="D42" s="131">
        <f t="shared" si="0"/>
        <v>11640</v>
      </c>
      <c r="E42" s="149">
        <v>9700</v>
      </c>
      <c r="F42" s="131"/>
      <c r="G42" s="131">
        <f t="shared" si="6"/>
        <v>1940</v>
      </c>
      <c r="H42" s="132">
        <v>50</v>
      </c>
      <c r="I42" s="354">
        <v>1.7</v>
      </c>
      <c r="J42" s="133">
        <f t="shared" si="7"/>
        <v>614592.00000000012</v>
      </c>
    </row>
    <row r="43" spans="1:11" x14ac:dyDescent="0.25">
      <c r="A43" s="354">
        <v>22</v>
      </c>
      <c r="B43" s="130" t="s">
        <v>528</v>
      </c>
      <c r="C43" s="354">
        <v>3</v>
      </c>
      <c r="D43" s="131">
        <f t="shared" si="0"/>
        <v>11472</v>
      </c>
      <c r="E43" s="149">
        <v>9560</v>
      </c>
      <c r="F43" s="131"/>
      <c r="G43" s="131">
        <f t="shared" si="6"/>
        <v>1912</v>
      </c>
      <c r="H43" s="132">
        <v>50</v>
      </c>
      <c r="I43" s="354">
        <v>1.7</v>
      </c>
      <c r="J43" s="133">
        <f t="shared" si="7"/>
        <v>908582.40000000014</v>
      </c>
    </row>
    <row r="44" spans="1:11" x14ac:dyDescent="0.25">
      <c r="A44" s="354">
        <v>23</v>
      </c>
      <c r="B44" s="130" t="s">
        <v>329</v>
      </c>
      <c r="C44" s="354">
        <v>1</v>
      </c>
      <c r="D44" s="131">
        <f t="shared" si="0"/>
        <v>11758.8</v>
      </c>
      <c r="E44" s="149">
        <v>9799</v>
      </c>
      <c r="F44" s="131"/>
      <c r="G44" s="131">
        <f t="shared" si="6"/>
        <v>1959.8000000000002</v>
      </c>
      <c r="H44" s="132">
        <v>50</v>
      </c>
      <c r="I44" s="354">
        <v>1.7</v>
      </c>
      <c r="J44" s="133">
        <f t="shared" si="7"/>
        <v>310432.32</v>
      </c>
    </row>
    <row r="45" spans="1:11" x14ac:dyDescent="0.25">
      <c r="A45" s="354">
        <v>24</v>
      </c>
      <c r="B45" s="130" t="s">
        <v>529</v>
      </c>
      <c r="C45" s="354">
        <v>0.5</v>
      </c>
      <c r="D45" s="131">
        <f t="shared" si="0"/>
        <v>11758.8</v>
      </c>
      <c r="E45" s="149">
        <v>9799</v>
      </c>
      <c r="F45" s="131"/>
      <c r="G45" s="131">
        <f t="shared" si="6"/>
        <v>1959.8000000000002</v>
      </c>
      <c r="H45" s="132">
        <v>50</v>
      </c>
      <c r="I45" s="354">
        <v>1.7</v>
      </c>
      <c r="J45" s="133">
        <f t="shared" si="7"/>
        <v>155216.16</v>
      </c>
    </row>
    <row r="46" spans="1:11" x14ac:dyDescent="0.25">
      <c r="A46" s="354">
        <v>25</v>
      </c>
      <c r="B46" s="130" t="s">
        <v>530</v>
      </c>
      <c r="C46" s="354">
        <v>0.5</v>
      </c>
      <c r="D46" s="131">
        <f t="shared" si="0"/>
        <v>11472</v>
      </c>
      <c r="E46" s="149">
        <v>9560</v>
      </c>
      <c r="F46" s="131"/>
      <c r="G46" s="131">
        <f t="shared" si="6"/>
        <v>1912</v>
      </c>
      <c r="H46" s="132">
        <v>50</v>
      </c>
      <c r="I46" s="354">
        <v>1.7</v>
      </c>
      <c r="J46" s="133">
        <f t="shared" si="7"/>
        <v>151430.40000000002</v>
      </c>
    </row>
    <row r="47" spans="1:11" x14ac:dyDescent="0.25">
      <c r="A47" s="134"/>
      <c r="B47" s="135" t="s">
        <v>317</v>
      </c>
      <c r="C47" s="136">
        <f>SUM(C40:C46)</f>
        <v>14.3</v>
      </c>
      <c r="D47" s="138">
        <f>SUM(D40:D46)</f>
        <v>81045.600000000006</v>
      </c>
      <c r="E47" s="136" t="s">
        <v>14</v>
      </c>
      <c r="F47" s="136" t="s">
        <v>14</v>
      </c>
      <c r="G47" s="136" t="s">
        <v>14</v>
      </c>
      <c r="H47" s="136" t="s">
        <v>14</v>
      </c>
      <c r="I47" s="136" t="s">
        <v>14</v>
      </c>
      <c r="J47" s="139">
        <f>SUM(J40:J46)</f>
        <v>4351137.12</v>
      </c>
      <c r="K47" s="151"/>
    </row>
    <row r="48" spans="1:11" ht="30" customHeight="1" x14ac:dyDescent="0.25">
      <c r="A48" s="429" t="s">
        <v>336</v>
      </c>
      <c r="B48" s="430"/>
      <c r="C48" s="430"/>
      <c r="D48" s="430"/>
      <c r="E48" s="430"/>
      <c r="F48" s="430"/>
      <c r="G48" s="430"/>
      <c r="H48" s="430"/>
      <c r="I48" s="431"/>
      <c r="J48" s="202">
        <f>(J18+J34+J38+J47)*10%+485579.3</f>
        <v>2241120.1639999999</v>
      </c>
      <c r="K48" s="151"/>
    </row>
    <row r="49" spans="1:12" s="41" customFormat="1" x14ac:dyDescent="0.2">
      <c r="A49" s="441" t="s">
        <v>531</v>
      </c>
      <c r="B49" s="442"/>
      <c r="C49" s="442"/>
      <c r="D49" s="442"/>
      <c r="E49" s="442"/>
      <c r="F49" s="442"/>
      <c r="G49" s="442"/>
      <c r="H49" s="442"/>
      <c r="I49" s="442"/>
      <c r="J49" s="141">
        <f>2282471.2+2000000</f>
        <v>4282471.2</v>
      </c>
    </row>
    <row r="50" spans="1:12" s="41" customFormat="1" x14ac:dyDescent="0.2">
      <c r="A50" s="441" t="s">
        <v>318</v>
      </c>
      <c r="B50" s="442"/>
      <c r="C50" s="442"/>
      <c r="D50" s="442"/>
      <c r="E50" s="442"/>
      <c r="F50" s="442"/>
      <c r="G50" s="442"/>
      <c r="H50" s="442"/>
      <c r="I50" s="442"/>
      <c r="J50" s="141">
        <v>262000</v>
      </c>
    </row>
    <row r="51" spans="1:12" s="41" customFormat="1" x14ac:dyDescent="0.2">
      <c r="A51" s="441" t="s">
        <v>532</v>
      </c>
      <c r="B51" s="442"/>
      <c r="C51" s="442"/>
      <c r="D51" s="442"/>
      <c r="E51" s="442"/>
      <c r="F51" s="442"/>
      <c r="G51" s="442"/>
      <c r="H51" s="442"/>
      <c r="I51" s="442"/>
      <c r="J51" s="141">
        <v>49000</v>
      </c>
    </row>
    <row r="52" spans="1:12" x14ac:dyDescent="0.25">
      <c r="A52" s="440" t="s">
        <v>576</v>
      </c>
      <c r="B52" s="440"/>
      <c r="C52" s="90">
        <f>C18+C34+C38+C47</f>
        <v>49.3</v>
      </c>
      <c r="D52" s="91">
        <f>D18+D34+D38+D47</f>
        <v>319994.40000000002</v>
      </c>
      <c r="E52" s="90" t="s">
        <v>14</v>
      </c>
      <c r="F52" s="90" t="s">
        <v>14</v>
      </c>
      <c r="G52" s="90" t="s">
        <v>14</v>
      </c>
      <c r="H52" s="90" t="s">
        <v>14</v>
      </c>
      <c r="I52" s="90" t="s">
        <v>14</v>
      </c>
      <c r="J52" s="203">
        <f>J18+J34+J38+J47+J48+J49+J50</f>
        <v>24341000.004000001</v>
      </c>
      <c r="K52" s="89"/>
      <c r="L52" s="89"/>
    </row>
    <row r="53" spans="1:12" x14ac:dyDescent="0.25">
      <c r="A53" s="440" t="s">
        <v>577</v>
      </c>
      <c r="B53" s="440"/>
      <c r="C53" s="90">
        <f>C19+C35+C39+C48</f>
        <v>0</v>
      </c>
      <c r="D53" s="91">
        <f>D19+D35+D39+D48</f>
        <v>0</v>
      </c>
      <c r="E53" s="90" t="s">
        <v>14</v>
      </c>
      <c r="F53" s="90" t="s">
        <v>14</v>
      </c>
      <c r="G53" s="90" t="s">
        <v>14</v>
      </c>
      <c r="H53" s="90" t="s">
        <v>14</v>
      </c>
      <c r="I53" s="90" t="s">
        <v>14</v>
      </c>
      <c r="J53" s="203">
        <f>J51</f>
        <v>49000</v>
      </c>
      <c r="K53" s="89"/>
      <c r="L53" s="89"/>
    </row>
    <row r="54" spans="1:12" ht="20.25" customHeight="1" x14ac:dyDescent="0.25">
      <c r="A54" s="411" t="s">
        <v>353</v>
      </c>
      <c r="B54" s="412"/>
      <c r="C54" s="412"/>
      <c r="D54" s="412"/>
      <c r="E54" s="412"/>
      <c r="F54" s="412"/>
      <c r="G54" s="412"/>
      <c r="H54" s="412"/>
      <c r="I54" s="412"/>
      <c r="J54" s="413"/>
    </row>
    <row r="55" spans="1:12" ht="30" customHeight="1" x14ac:dyDescent="0.25">
      <c r="A55" s="356" t="s">
        <v>1</v>
      </c>
      <c r="B55" s="427" t="s">
        <v>44</v>
      </c>
      <c r="C55" s="427"/>
      <c r="D55" s="427"/>
      <c r="E55" s="427" t="s">
        <v>45</v>
      </c>
      <c r="F55" s="427"/>
      <c r="G55" s="427" t="s">
        <v>46</v>
      </c>
      <c r="H55" s="427"/>
      <c r="I55" s="427" t="s">
        <v>102</v>
      </c>
      <c r="J55" s="427"/>
    </row>
    <row r="56" spans="1:12" ht="16.5" customHeight="1" x14ac:dyDescent="0.25">
      <c r="A56" s="348">
        <v>1</v>
      </c>
      <c r="B56" s="428">
        <v>2</v>
      </c>
      <c r="C56" s="428"/>
      <c r="D56" s="428"/>
      <c r="E56" s="428">
        <v>3</v>
      </c>
      <c r="F56" s="428"/>
      <c r="G56" s="428">
        <v>4</v>
      </c>
      <c r="H56" s="428"/>
      <c r="I56" s="428">
        <v>5</v>
      </c>
      <c r="J56" s="428"/>
    </row>
    <row r="57" spans="1:12" ht="47.25" customHeight="1" x14ac:dyDescent="0.25">
      <c r="A57" s="213">
        <v>1</v>
      </c>
      <c r="B57" s="414" t="s">
        <v>513</v>
      </c>
      <c r="C57" s="415"/>
      <c r="D57" s="416"/>
      <c r="E57" s="417">
        <v>2500</v>
      </c>
      <c r="F57" s="417"/>
      <c r="G57" s="418">
        <v>16</v>
      </c>
      <c r="H57" s="418"/>
      <c r="I57" s="419">
        <f>E57*G57</f>
        <v>40000</v>
      </c>
      <c r="J57" s="419"/>
    </row>
    <row r="58" spans="1:12" ht="33.75" customHeight="1" x14ac:dyDescent="0.25">
      <c r="A58" s="420" t="s">
        <v>575</v>
      </c>
      <c r="B58" s="420"/>
      <c r="C58" s="142">
        <f>C52</f>
        <v>49.3</v>
      </c>
      <c r="D58" s="143">
        <f>D52</f>
        <v>319994.40000000002</v>
      </c>
      <c r="E58" s="144" t="s">
        <v>14</v>
      </c>
      <c r="F58" s="144" t="s">
        <v>14</v>
      </c>
      <c r="G58" s="144" t="s">
        <v>14</v>
      </c>
      <c r="H58" s="144" t="s">
        <v>14</v>
      </c>
      <c r="I58" s="144" t="s">
        <v>14</v>
      </c>
      <c r="J58" s="145">
        <f>J52+I57</f>
        <v>24381000.004000001</v>
      </c>
    </row>
    <row r="59" spans="1:12" s="41" customFormat="1" ht="40.5" customHeight="1" x14ac:dyDescent="0.25">
      <c r="A59" s="484" t="s">
        <v>354</v>
      </c>
      <c r="B59" s="484"/>
      <c r="C59" s="484"/>
      <c r="D59" s="484"/>
      <c r="E59" s="484"/>
      <c r="F59" s="484"/>
      <c r="G59" s="484"/>
      <c r="H59" s="484"/>
      <c r="I59" s="484"/>
      <c r="J59" s="484"/>
    </row>
    <row r="60" spans="1:12" ht="38.25" x14ac:dyDescent="0.25">
      <c r="A60" s="348" t="s">
        <v>1</v>
      </c>
      <c r="B60" s="428" t="s">
        <v>15</v>
      </c>
      <c r="C60" s="428"/>
      <c r="D60" s="428"/>
      <c r="E60" s="428" t="s">
        <v>16</v>
      </c>
      <c r="F60" s="428"/>
      <c r="G60" s="348" t="s">
        <v>17</v>
      </c>
      <c r="H60" s="348" t="s">
        <v>18</v>
      </c>
      <c r="I60" s="428" t="s">
        <v>104</v>
      </c>
      <c r="J60" s="428"/>
    </row>
    <row r="61" spans="1:12" x14ac:dyDescent="0.25">
      <c r="A61" s="348">
        <v>1</v>
      </c>
      <c r="B61" s="428">
        <v>2</v>
      </c>
      <c r="C61" s="428"/>
      <c r="D61" s="428"/>
      <c r="E61" s="428">
        <v>3</v>
      </c>
      <c r="F61" s="428"/>
      <c r="G61" s="348">
        <v>4</v>
      </c>
      <c r="H61" s="348">
        <v>5</v>
      </c>
      <c r="I61" s="428">
        <v>6</v>
      </c>
      <c r="J61" s="428"/>
    </row>
    <row r="62" spans="1:12" ht="16.5" customHeight="1" x14ac:dyDescent="0.25">
      <c r="A62" s="411" t="s">
        <v>355</v>
      </c>
      <c r="B62" s="412"/>
      <c r="C62" s="412"/>
      <c r="D62" s="412"/>
      <c r="E62" s="412"/>
      <c r="F62" s="412"/>
      <c r="G62" s="412"/>
      <c r="H62" s="412"/>
      <c r="I62" s="412"/>
      <c r="J62" s="413"/>
    </row>
    <row r="63" spans="1:12" ht="48.75" customHeight="1" x14ac:dyDescent="0.25">
      <c r="A63" s="347" t="s">
        <v>70</v>
      </c>
      <c r="B63" s="599" t="s">
        <v>356</v>
      </c>
      <c r="C63" s="600"/>
      <c r="D63" s="601"/>
      <c r="E63" s="570"/>
      <c r="F63" s="571"/>
      <c r="G63" s="347"/>
      <c r="H63" s="347"/>
      <c r="I63" s="572">
        <f>E63*G63*H63</f>
        <v>0</v>
      </c>
      <c r="J63" s="572"/>
    </row>
    <row r="64" spans="1:12" ht="15" customHeight="1" x14ac:dyDescent="0.25">
      <c r="A64" s="411" t="s">
        <v>357</v>
      </c>
      <c r="B64" s="412"/>
      <c r="C64" s="412"/>
      <c r="D64" s="412"/>
      <c r="E64" s="412"/>
      <c r="F64" s="412"/>
      <c r="G64" s="412"/>
      <c r="H64" s="412"/>
      <c r="I64" s="412"/>
      <c r="J64" s="413"/>
    </row>
    <row r="65" spans="1:10" ht="48.75" customHeight="1" x14ac:dyDescent="0.25">
      <c r="A65" s="347" t="s">
        <v>70</v>
      </c>
      <c r="B65" s="467" t="s">
        <v>69</v>
      </c>
      <c r="C65" s="468"/>
      <c r="D65" s="469"/>
      <c r="E65" s="470">
        <f>(22300+15600)/2</f>
        <v>18950</v>
      </c>
      <c r="F65" s="470"/>
      <c r="G65" s="152">
        <v>57</v>
      </c>
      <c r="H65" s="217"/>
      <c r="I65" s="471">
        <f>E65*G65-7750</f>
        <v>1072400</v>
      </c>
      <c r="J65" s="471"/>
    </row>
    <row r="66" spans="1:10" x14ac:dyDescent="0.25">
      <c r="A66" s="411" t="s">
        <v>358</v>
      </c>
      <c r="B66" s="412"/>
      <c r="C66" s="412"/>
      <c r="D66" s="412"/>
      <c r="E66" s="412"/>
      <c r="F66" s="412"/>
      <c r="G66" s="412"/>
      <c r="H66" s="412"/>
      <c r="I66" s="412"/>
      <c r="J66" s="413"/>
    </row>
    <row r="67" spans="1:10" ht="35.25" customHeight="1" x14ac:dyDescent="0.25">
      <c r="A67" s="218" t="s">
        <v>75</v>
      </c>
      <c r="B67" s="594" t="s">
        <v>359</v>
      </c>
      <c r="C67" s="595"/>
      <c r="D67" s="596"/>
      <c r="E67" s="597"/>
      <c r="F67" s="597"/>
      <c r="G67" s="218"/>
      <c r="H67" s="218"/>
      <c r="I67" s="598"/>
      <c r="J67" s="598"/>
    </row>
    <row r="68" spans="1:10" x14ac:dyDescent="0.25">
      <c r="A68" s="347"/>
      <c r="B68" s="535" t="s">
        <v>13</v>
      </c>
      <c r="C68" s="535"/>
      <c r="D68" s="535"/>
      <c r="E68" s="418" t="s">
        <v>14</v>
      </c>
      <c r="F68" s="418"/>
      <c r="G68" s="347" t="s">
        <v>14</v>
      </c>
      <c r="H68" s="347" t="s">
        <v>14</v>
      </c>
      <c r="I68" s="477">
        <f>I63+I65+I67</f>
        <v>1072400</v>
      </c>
      <c r="J68" s="477"/>
    </row>
    <row r="69" spans="1:10" ht="19.5" customHeight="1" x14ac:dyDescent="0.25">
      <c r="A69" s="489" t="s">
        <v>360</v>
      </c>
      <c r="B69" s="489"/>
      <c r="C69" s="489"/>
      <c r="D69" s="489"/>
      <c r="E69" s="489"/>
      <c r="F69" s="489"/>
      <c r="G69" s="489"/>
      <c r="H69" s="489"/>
      <c r="I69" s="489"/>
      <c r="J69" s="489"/>
    </row>
    <row r="70" spans="1:10" ht="51" x14ac:dyDescent="0.25">
      <c r="A70" s="348" t="s">
        <v>1</v>
      </c>
      <c r="B70" s="428" t="s">
        <v>15</v>
      </c>
      <c r="C70" s="428"/>
      <c r="D70" s="428"/>
      <c r="E70" s="479" t="s">
        <v>20</v>
      </c>
      <c r="F70" s="480"/>
      <c r="G70" s="348" t="s">
        <v>21</v>
      </c>
      <c r="H70" s="348" t="s">
        <v>22</v>
      </c>
      <c r="I70" s="428" t="s">
        <v>19</v>
      </c>
      <c r="J70" s="428"/>
    </row>
    <row r="71" spans="1:10" x14ac:dyDescent="0.25">
      <c r="A71" s="348">
        <v>1</v>
      </c>
      <c r="B71" s="428">
        <v>2</v>
      </c>
      <c r="C71" s="428"/>
      <c r="D71" s="428"/>
      <c r="E71" s="479">
        <v>3</v>
      </c>
      <c r="F71" s="480"/>
      <c r="G71" s="348">
        <v>4</v>
      </c>
      <c r="H71" s="348">
        <v>5</v>
      </c>
      <c r="I71" s="428">
        <v>6</v>
      </c>
      <c r="J71" s="428"/>
    </row>
    <row r="72" spans="1:10" ht="47.25" customHeight="1" x14ac:dyDescent="0.25">
      <c r="A72" s="354" t="s">
        <v>70</v>
      </c>
      <c r="B72" s="421" t="s">
        <v>79</v>
      </c>
      <c r="C72" s="422"/>
      <c r="D72" s="423"/>
      <c r="E72" s="424">
        <v>2</v>
      </c>
      <c r="F72" s="425"/>
      <c r="G72" s="220">
        <v>12</v>
      </c>
      <c r="H72" s="220">
        <v>85</v>
      </c>
      <c r="I72" s="426">
        <f>E72*G72*H72-40</f>
        <v>2000</v>
      </c>
      <c r="J72" s="426"/>
    </row>
    <row r="73" spans="1:10" ht="17.25" customHeight="1" x14ac:dyDescent="0.25">
      <c r="A73" s="219"/>
      <c r="B73" s="481" t="s">
        <v>13</v>
      </c>
      <c r="C73" s="481"/>
      <c r="D73" s="481"/>
      <c r="E73" s="482" t="s">
        <v>14</v>
      </c>
      <c r="F73" s="483"/>
      <c r="G73" s="347" t="s">
        <v>14</v>
      </c>
      <c r="H73" s="347" t="s">
        <v>14</v>
      </c>
      <c r="I73" s="477">
        <f>SUM(I72)</f>
        <v>2000</v>
      </c>
      <c r="J73" s="478"/>
    </row>
    <row r="74" spans="1:10" s="41" customFormat="1" ht="54" customHeight="1" x14ac:dyDescent="0.25">
      <c r="A74" s="484" t="s">
        <v>298</v>
      </c>
      <c r="B74" s="484"/>
      <c r="C74" s="484"/>
      <c r="D74" s="484"/>
      <c r="E74" s="484"/>
      <c r="F74" s="484"/>
      <c r="G74" s="484"/>
      <c r="H74" s="484"/>
      <c r="I74" s="484"/>
      <c r="J74" s="484"/>
    </row>
    <row r="75" spans="1:10" ht="36" customHeight="1" x14ac:dyDescent="0.25">
      <c r="A75" s="198" t="s">
        <v>1</v>
      </c>
      <c r="B75" s="485" t="s">
        <v>23</v>
      </c>
      <c r="C75" s="486"/>
      <c r="D75" s="486"/>
      <c r="E75" s="486"/>
      <c r="F75" s="487"/>
      <c r="G75" s="485" t="s">
        <v>24</v>
      </c>
      <c r="H75" s="487"/>
      <c r="I75" s="485" t="s">
        <v>25</v>
      </c>
      <c r="J75" s="487"/>
    </row>
    <row r="76" spans="1:10" ht="11.25" customHeight="1" x14ac:dyDescent="0.25">
      <c r="A76" s="341">
        <v>1</v>
      </c>
      <c r="B76" s="490">
        <v>2</v>
      </c>
      <c r="C76" s="491"/>
      <c r="D76" s="491"/>
      <c r="E76" s="491"/>
      <c r="F76" s="492"/>
      <c r="G76" s="490">
        <v>3</v>
      </c>
      <c r="H76" s="492"/>
      <c r="I76" s="490">
        <v>4</v>
      </c>
      <c r="J76" s="492"/>
    </row>
    <row r="77" spans="1:10" ht="20.25" customHeight="1" x14ac:dyDescent="0.25">
      <c r="A77" s="350" t="s">
        <v>70</v>
      </c>
      <c r="B77" s="472" t="s">
        <v>533</v>
      </c>
      <c r="C77" s="473"/>
      <c r="D77" s="473"/>
      <c r="E77" s="473"/>
      <c r="F77" s="474"/>
      <c r="G77" s="475" t="s">
        <v>14</v>
      </c>
      <c r="H77" s="476"/>
      <c r="I77" s="443">
        <f>I80</f>
        <v>5360038</v>
      </c>
      <c r="J77" s="444"/>
    </row>
    <row r="78" spans="1:10" ht="20.25" customHeight="1" x14ac:dyDescent="0.25">
      <c r="A78" s="350" t="s">
        <v>70</v>
      </c>
      <c r="B78" s="472" t="s">
        <v>534</v>
      </c>
      <c r="C78" s="473"/>
      <c r="D78" s="473"/>
      <c r="E78" s="473"/>
      <c r="F78" s="474"/>
      <c r="G78" s="475" t="s">
        <v>14</v>
      </c>
      <c r="H78" s="476"/>
      <c r="I78" s="443">
        <f>I81</f>
        <v>11182</v>
      </c>
      <c r="J78" s="444"/>
    </row>
    <row r="79" spans="1:10" ht="18" customHeight="1" x14ac:dyDescent="0.25">
      <c r="A79" s="102"/>
      <c r="B79" s="496" t="s">
        <v>9</v>
      </c>
      <c r="C79" s="504"/>
      <c r="D79" s="504"/>
      <c r="E79" s="504"/>
      <c r="F79" s="497"/>
      <c r="G79" s="458"/>
      <c r="H79" s="459"/>
      <c r="I79" s="460"/>
      <c r="J79" s="461"/>
    </row>
    <row r="80" spans="1:10" s="41" customFormat="1" ht="20.25" customHeight="1" x14ac:dyDescent="0.25">
      <c r="A80" s="343" t="s">
        <v>27</v>
      </c>
      <c r="B80" s="566" t="s">
        <v>535</v>
      </c>
      <c r="C80" s="567"/>
      <c r="D80" s="567"/>
      <c r="E80" s="567"/>
      <c r="F80" s="568"/>
      <c r="G80" s="465">
        <v>24341000</v>
      </c>
      <c r="H80" s="466"/>
      <c r="I80" s="460">
        <f>G80*22%-10982+16000</f>
        <v>5360038</v>
      </c>
      <c r="J80" s="461"/>
    </row>
    <row r="81" spans="1:12" s="41" customFormat="1" ht="20.25" customHeight="1" x14ac:dyDescent="0.25">
      <c r="A81" s="343" t="s">
        <v>27</v>
      </c>
      <c r="B81" s="566" t="s">
        <v>536</v>
      </c>
      <c r="C81" s="567"/>
      <c r="D81" s="567"/>
      <c r="E81" s="567"/>
      <c r="F81" s="568"/>
      <c r="G81" s="465">
        <v>49000</v>
      </c>
      <c r="H81" s="466"/>
      <c r="I81" s="460">
        <f>G81*22%+500-98</f>
        <v>11182</v>
      </c>
      <c r="J81" s="461"/>
    </row>
    <row r="82" spans="1:12" x14ac:dyDescent="0.25">
      <c r="A82" s="343" t="s">
        <v>29</v>
      </c>
      <c r="B82" s="455" t="s">
        <v>30</v>
      </c>
      <c r="C82" s="456"/>
      <c r="D82" s="456"/>
      <c r="E82" s="456"/>
      <c r="F82" s="457"/>
      <c r="G82" s="458"/>
      <c r="H82" s="459"/>
      <c r="I82" s="460"/>
      <c r="J82" s="461"/>
    </row>
    <row r="83" spans="1:12" ht="15" customHeight="1" x14ac:dyDescent="0.25">
      <c r="A83" s="343" t="s">
        <v>31</v>
      </c>
      <c r="B83" s="462" t="s">
        <v>32</v>
      </c>
      <c r="C83" s="463"/>
      <c r="D83" s="463"/>
      <c r="E83" s="463"/>
      <c r="F83" s="464"/>
      <c r="G83" s="458"/>
      <c r="H83" s="459"/>
      <c r="I83" s="460"/>
      <c r="J83" s="461"/>
    </row>
    <row r="84" spans="1:12" ht="29.25" customHeight="1" x14ac:dyDescent="0.25">
      <c r="A84" s="350" t="s">
        <v>75</v>
      </c>
      <c r="B84" s="472" t="s">
        <v>537</v>
      </c>
      <c r="C84" s="473"/>
      <c r="D84" s="473"/>
      <c r="E84" s="473"/>
      <c r="F84" s="474"/>
      <c r="G84" s="475" t="s">
        <v>14</v>
      </c>
      <c r="H84" s="476"/>
      <c r="I84" s="443">
        <f>I87+I90</f>
        <v>754571</v>
      </c>
      <c r="J84" s="444"/>
    </row>
    <row r="85" spans="1:12" ht="30" customHeight="1" x14ac:dyDescent="0.25">
      <c r="A85" s="350" t="s">
        <v>75</v>
      </c>
      <c r="B85" s="472" t="s">
        <v>538</v>
      </c>
      <c r="C85" s="473"/>
      <c r="D85" s="473"/>
      <c r="E85" s="473"/>
      <c r="F85" s="474"/>
      <c r="G85" s="475" t="s">
        <v>14</v>
      </c>
      <c r="H85" s="476"/>
      <c r="I85" s="443">
        <f>I88+I91</f>
        <v>1519</v>
      </c>
      <c r="J85" s="444"/>
    </row>
    <row r="86" spans="1:12" ht="15" customHeight="1" x14ac:dyDescent="0.25">
      <c r="A86" s="102"/>
      <c r="B86" s="496" t="s">
        <v>9</v>
      </c>
      <c r="C86" s="504"/>
      <c r="D86" s="504"/>
      <c r="E86" s="504"/>
      <c r="F86" s="497"/>
      <c r="G86" s="458"/>
      <c r="H86" s="459"/>
      <c r="I86" s="460"/>
      <c r="J86" s="461"/>
    </row>
    <row r="87" spans="1:12" ht="32.25" customHeight="1" x14ac:dyDescent="0.25">
      <c r="A87" s="343" t="s">
        <v>34</v>
      </c>
      <c r="B87" s="462" t="s">
        <v>539</v>
      </c>
      <c r="C87" s="463"/>
      <c r="D87" s="463"/>
      <c r="E87" s="463"/>
      <c r="F87" s="464"/>
      <c r="G87" s="465">
        <f>G80</f>
        <v>24341000</v>
      </c>
      <c r="H87" s="466"/>
      <c r="I87" s="460">
        <f>G87*2.9%</f>
        <v>705889</v>
      </c>
      <c r="J87" s="461"/>
    </row>
    <row r="88" spans="1:12" ht="32.25" customHeight="1" x14ac:dyDescent="0.25">
      <c r="A88" s="343" t="s">
        <v>34</v>
      </c>
      <c r="B88" s="462" t="s">
        <v>540</v>
      </c>
      <c r="C88" s="463"/>
      <c r="D88" s="463"/>
      <c r="E88" s="463"/>
      <c r="F88" s="464"/>
      <c r="G88" s="465">
        <f>G81</f>
        <v>49000</v>
      </c>
      <c r="H88" s="466"/>
      <c r="I88" s="460">
        <f>G88*2.9%</f>
        <v>1421</v>
      </c>
      <c r="J88" s="461"/>
    </row>
    <row r="89" spans="1:12" ht="30.75" customHeight="1" x14ac:dyDescent="0.25">
      <c r="A89" s="343" t="s">
        <v>36</v>
      </c>
      <c r="B89" s="462" t="s">
        <v>37</v>
      </c>
      <c r="C89" s="463"/>
      <c r="D89" s="463"/>
      <c r="E89" s="463"/>
      <c r="F89" s="464"/>
      <c r="G89" s="458"/>
      <c r="H89" s="459"/>
      <c r="I89" s="460"/>
      <c r="J89" s="461"/>
    </row>
    <row r="90" spans="1:12" ht="34.5" customHeight="1" x14ac:dyDescent="0.25">
      <c r="A90" s="343" t="s">
        <v>38</v>
      </c>
      <c r="B90" s="462" t="s">
        <v>541</v>
      </c>
      <c r="C90" s="463"/>
      <c r="D90" s="463"/>
      <c r="E90" s="463"/>
      <c r="F90" s="464"/>
      <c r="G90" s="465">
        <f>G80</f>
        <v>24341000</v>
      </c>
      <c r="H90" s="466"/>
      <c r="I90" s="460">
        <f>G90*0.2%</f>
        <v>48682</v>
      </c>
      <c r="J90" s="461"/>
    </row>
    <row r="91" spans="1:12" ht="34.5" customHeight="1" x14ac:dyDescent="0.25">
      <c r="A91" s="343" t="s">
        <v>38</v>
      </c>
      <c r="B91" s="462" t="s">
        <v>542</v>
      </c>
      <c r="C91" s="463"/>
      <c r="D91" s="463"/>
      <c r="E91" s="463"/>
      <c r="F91" s="464"/>
      <c r="G91" s="465">
        <f>G81</f>
        <v>49000</v>
      </c>
      <c r="H91" s="466"/>
      <c r="I91" s="460">
        <f>G91*0.2%</f>
        <v>98</v>
      </c>
      <c r="J91" s="461"/>
    </row>
    <row r="92" spans="1:12" s="41" customFormat="1" ht="29.25" customHeight="1" x14ac:dyDescent="0.25">
      <c r="A92" s="343" t="s">
        <v>40</v>
      </c>
      <c r="B92" s="462" t="s">
        <v>41</v>
      </c>
      <c r="C92" s="463"/>
      <c r="D92" s="463"/>
      <c r="E92" s="463"/>
      <c r="F92" s="464"/>
      <c r="G92" s="458"/>
      <c r="H92" s="459"/>
      <c r="I92" s="460"/>
      <c r="J92" s="461"/>
    </row>
    <row r="93" spans="1:12" ht="30.75" customHeight="1" x14ac:dyDescent="0.25">
      <c r="A93" s="343" t="s">
        <v>42</v>
      </c>
      <c r="B93" s="462" t="s">
        <v>41</v>
      </c>
      <c r="C93" s="463"/>
      <c r="D93" s="463"/>
      <c r="E93" s="463"/>
      <c r="F93" s="464"/>
      <c r="G93" s="458"/>
      <c r="H93" s="459"/>
      <c r="I93" s="460"/>
      <c r="J93" s="461"/>
    </row>
    <row r="94" spans="1:12" ht="32.25" customHeight="1" x14ac:dyDescent="0.25">
      <c r="A94" s="350" t="s">
        <v>77</v>
      </c>
      <c r="B94" s="472" t="s">
        <v>543</v>
      </c>
      <c r="C94" s="473"/>
      <c r="D94" s="473"/>
      <c r="E94" s="473"/>
      <c r="F94" s="474"/>
      <c r="G94" s="493">
        <f>G80</f>
        <v>24341000</v>
      </c>
      <c r="H94" s="494"/>
      <c r="I94" s="443">
        <f>G94*5.1%</f>
        <v>1241391</v>
      </c>
      <c r="J94" s="444"/>
    </row>
    <row r="95" spans="1:12" ht="32.25" customHeight="1" x14ac:dyDescent="0.25">
      <c r="A95" s="350" t="s">
        <v>77</v>
      </c>
      <c r="B95" s="472" t="s">
        <v>544</v>
      </c>
      <c r="C95" s="473"/>
      <c r="D95" s="473"/>
      <c r="E95" s="473"/>
      <c r="F95" s="474"/>
      <c r="G95" s="493">
        <f>G81</f>
        <v>49000</v>
      </c>
      <c r="H95" s="494"/>
      <c r="I95" s="443">
        <f>G95*5.1%</f>
        <v>2499</v>
      </c>
      <c r="J95" s="444"/>
    </row>
    <row r="96" spans="1:12" x14ac:dyDescent="0.25">
      <c r="A96" s="343"/>
      <c r="B96" s="448" t="s">
        <v>332</v>
      </c>
      <c r="C96" s="449"/>
      <c r="D96" s="449"/>
      <c r="E96" s="449"/>
      <c r="F96" s="450"/>
      <c r="G96" s="451" t="s">
        <v>14</v>
      </c>
      <c r="H96" s="452"/>
      <c r="I96" s="453">
        <f>I77+I84+I94</f>
        <v>7356000</v>
      </c>
      <c r="J96" s="454"/>
      <c r="L96" s="1">
        <f>7371200-15200-7340000</f>
        <v>16000</v>
      </c>
    </row>
    <row r="97" spans="1:12" x14ac:dyDescent="0.25">
      <c r="A97" s="343"/>
      <c r="B97" s="448" t="s">
        <v>379</v>
      </c>
      <c r="C97" s="449"/>
      <c r="D97" s="449"/>
      <c r="E97" s="449"/>
      <c r="F97" s="450"/>
      <c r="G97" s="451" t="s">
        <v>14</v>
      </c>
      <c r="H97" s="452"/>
      <c r="I97" s="453">
        <f>I78+I85+I95</f>
        <v>15200</v>
      </c>
      <c r="J97" s="454"/>
    </row>
    <row r="98" spans="1:12" s="41" customFormat="1" ht="19.5" customHeight="1" x14ac:dyDescent="0.25">
      <c r="A98" s="113"/>
      <c r="B98" s="445" t="s">
        <v>512</v>
      </c>
      <c r="C98" s="445"/>
      <c r="D98" s="445"/>
      <c r="E98" s="445"/>
      <c r="F98" s="445"/>
      <c r="G98" s="446" t="s">
        <v>14</v>
      </c>
      <c r="H98" s="446"/>
      <c r="I98" s="447">
        <f>I96+I97</f>
        <v>7371200</v>
      </c>
      <c r="J98" s="447"/>
      <c r="K98" s="495"/>
      <c r="L98" s="495"/>
    </row>
    <row r="99" spans="1:12" s="41" customFormat="1" ht="38.25" customHeight="1" x14ac:dyDescent="0.2">
      <c r="A99" s="488" t="s">
        <v>502</v>
      </c>
      <c r="B99" s="488"/>
      <c r="C99" s="488"/>
      <c r="D99" s="488"/>
      <c r="E99" s="488"/>
      <c r="F99" s="488"/>
      <c r="G99" s="488"/>
      <c r="H99" s="488"/>
      <c r="I99" s="488"/>
      <c r="J99" s="488"/>
    </row>
    <row r="100" spans="1:12" ht="19.5" customHeight="1" x14ac:dyDescent="0.25">
      <c r="A100" s="489" t="s">
        <v>378</v>
      </c>
      <c r="B100" s="489"/>
      <c r="C100" s="489"/>
      <c r="D100" s="489"/>
      <c r="E100" s="489"/>
      <c r="F100" s="489"/>
      <c r="G100" s="489"/>
      <c r="H100" s="489"/>
      <c r="I100" s="489"/>
      <c r="J100" s="489"/>
      <c r="K100" s="11"/>
      <c r="L100" s="11"/>
    </row>
    <row r="101" spans="1:12" ht="15" customHeight="1" x14ac:dyDescent="0.25">
      <c r="A101" s="92" t="s">
        <v>80</v>
      </c>
      <c r="B101" s="93"/>
      <c r="C101" s="97">
        <v>321</v>
      </c>
      <c r="D101" s="97"/>
      <c r="E101" s="97"/>
      <c r="F101" s="98"/>
      <c r="G101" s="98"/>
      <c r="H101" s="98"/>
      <c r="I101" s="98"/>
      <c r="J101" s="98"/>
      <c r="K101" s="11"/>
      <c r="L101" s="11"/>
    </row>
    <row r="102" spans="1:12" ht="16.5" customHeight="1" x14ac:dyDescent="0.25">
      <c r="A102" s="92" t="s">
        <v>81</v>
      </c>
      <c r="B102" s="93"/>
      <c r="C102" s="93"/>
      <c r="D102" s="93"/>
      <c r="E102" s="99"/>
      <c r="F102" s="100"/>
      <c r="G102" s="100"/>
      <c r="H102" s="100"/>
      <c r="I102" s="100"/>
      <c r="J102" s="100"/>
      <c r="K102" s="11"/>
      <c r="L102" s="11"/>
    </row>
    <row r="103" spans="1:12" ht="36" customHeight="1" x14ac:dyDescent="0.25">
      <c r="A103" s="341" t="s">
        <v>1</v>
      </c>
      <c r="B103" s="490" t="s">
        <v>44</v>
      </c>
      <c r="C103" s="491"/>
      <c r="D103" s="492"/>
      <c r="E103" s="490" t="s">
        <v>45</v>
      </c>
      <c r="F103" s="492"/>
      <c r="G103" s="490" t="s">
        <v>46</v>
      </c>
      <c r="H103" s="492"/>
      <c r="I103" s="490" t="s">
        <v>102</v>
      </c>
      <c r="J103" s="492"/>
      <c r="K103" s="11"/>
      <c r="L103" s="11"/>
    </row>
    <row r="104" spans="1:12" ht="16.5" customHeight="1" x14ac:dyDescent="0.25">
      <c r="A104" s="341">
        <v>1</v>
      </c>
      <c r="B104" s="490">
        <v>2</v>
      </c>
      <c r="C104" s="491"/>
      <c r="D104" s="492"/>
      <c r="E104" s="490">
        <v>3</v>
      </c>
      <c r="F104" s="492"/>
      <c r="G104" s="490">
        <v>4</v>
      </c>
      <c r="H104" s="492"/>
      <c r="I104" s="490">
        <v>5</v>
      </c>
      <c r="J104" s="492"/>
      <c r="K104" s="11"/>
      <c r="L104" s="11"/>
    </row>
    <row r="105" spans="1:12" ht="89.25" hidden="1" customHeight="1" x14ac:dyDescent="0.25">
      <c r="A105" s="355" t="s">
        <v>70</v>
      </c>
      <c r="B105" s="455" t="s">
        <v>363</v>
      </c>
      <c r="C105" s="456"/>
      <c r="D105" s="457"/>
      <c r="E105" s="496"/>
      <c r="F105" s="497"/>
      <c r="G105" s="496"/>
      <c r="H105" s="497"/>
      <c r="I105" s="496"/>
      <c r="J105" s="497"/>
    </row>
    <row r="106" spans="1:12" ht="28.5" hidden="1" customHeight="1" x14ac:dyDescent="0.25">
      <c r="A106" s="343" t="s">
        <v>75</v>
      </c>
      <c r="B106" s="455" t="s">
        <v>362</v>
      </c>
      <c r="C106" s="456"/>
      <c r="D106" s="457"/>
      <c r="E106" s="496"/>
      <c r="F106" s="497"/>
      <c r="G106" s="496"/>
      <c r="H106" s="497"/>
      <c r="I106" s="496"/>
      <c r="J106" s="497"/>
    </row>
    <row r="107" spans="1:12" ht="28.5" customHeight="1" x14ac:dyDescent="0.25">
      <c r="A107" s="343"/>
      <c r="B107" s="421" t="s">
        <v>377</v>
      </c>
      <c r="C107" s="422"/>
      <c r="D107" s="423"/>
      <c r="E107" s="496"/>
      <c r="F107" s="503"/>
      <c r="G107" s="496"/>
      <c r="H107" s="503"/>
      <c r="I107" s="496"/>
      <c r="J107" s="503"/>
    </row>
    <row r="108" spans="1:12" x14ac:dyDescent="0.25">
      <c r="A108" s="344"/>
      <c r="B108" s="448" t="s">
        <v>13</v>
      </c>
      <c r="C108" s="449"/>
      <c r="D108" s="450"/>
      <c r="E108" s="451" t="s">
        <v>14</v>
      </c>
      <c r="F108" s="452"/>
      <c r="G108" s="451" t="s">
        <v>14</v>
      </c>
      <c r="H108" s="452"/>
      <c r="I108" s="451">
        <f>SUM(I107)</f>
        <v>0</v>
      </c>
      <c r="J108" s="452"/>
    </row>
    <row r="109" spans="1:12" s="41" customFormat="1" ht="21" customHeight="1" x14ac:dyDescent="0.25">
      <c r="A109" s="489" t="s">
        <v>364</v>
      </c>
      <c r="B109" s="489"/>
      <c r="C109" s="489"/>
      <c r="D109" s="489"/>
      <c r="E109" s="489"/>
      <c r="F109" s="489"/>
      <c r="G109" s="489"/>
      <c r="H109" s="489"/>
      <c r="I109" s="489"/>
      <c r="J109" s="489"/>
    </row>
    <row r="110" spans="1:12" s="41" customFormat="1" ht="21" customHeight="1" x14ac:dyDescent="0.25">
      <c r="A110" s="92" t="s">
        <v>80</v>
      </c>
      <c r="B110" s="93"/>
      <c r="C110" s="97">
        <v>851</v>
      </c>
      <c r="D110" s="97">
        <v>852</v>
      </c>
      <c r="E110" s="97">
        <v>853</v>
      </c>
      <c r="F110" s="98"/>
      <c r="G110" s="98"/>
      <c r="H110" s="98"/>
      <c r="I110" s="98"/>
      <c r="J110" s="98"/>
      <c r="K110" s="42"/>
      <c r="L110" s="43"/>
    </row>
    <row r="111" spans="1:12" s="41" customFormat="1" ht="15.75" x14ac:dyDescent="0.25">
      <c r="A111" s="92" t="s">
        <v>81</v>
      </c>
      <c r="B111" s="93"/>
      <c r="C111" s="93"/>
      <c r="D111" s="93"/>
      <c r="E111" s="99"/>
      <c r="F111" s="100"/>
      <c r="G111" s="100"/>
      <c r="H111" s="100"/>
      <c r="I111" s="100"/>
      <c r="J111" s="100"/>
    </row>
    <row r="112" spans="1:12" ht="39.75" customHeight="1" x14ac:dyDescent="0.25">
      <c r="A112" s="341" t="s">
        <v>1</v>
      </c>
      <c r="B112" s="402" t="s">
        <v>15</v>
      </c>
      <c r="C112" s="402"/>
      <c r="D112" s="402"/>
      <c r="E112" s="402" t="s">
        <v>47</v>
      </c>
      <c r="F112" s="402"/>
      <c r="G112" s="402" t="s">
        <v>48</v>
      </c>
      <c r="H112" s="402"/>
      <c r="I112" s="402" t="s">
        <v>103</v>
      </c>
      <c r="J112" s="402"/>
    </row>
    <row r="113" spans="1:12" ht="15" customHeight="1" x14ac:dyDescent="0.25">
      <c r="A113" s="341">
        <v>1</v>
      </c>
      <c r="B113" s="402">
        <v>2</v>
      </c>
      <c r="C113" s="402"/>
      <c r="D113" s="402"/>
      <c r="E113" s="402">
        <v>3</v>
      </c>
      <c r="F113" s="402"/>
      <c r="G113" s="402">
        <v>4</v>
      </c>
      <c r="H113" s="402"/>
      <c r="I113" s="402">
        <v>5</v>
      </c>
      <c r="J113" s="402"/>
    </row>
    <row r="114" spans="1:12" ht="20.25" customHeight="1" x14ac:dyDescent="0.25">
      <c r="A114" s="581" t="s">
        <v>70</v>
      </c>
      <c r="B114" s="583" t="s">
        <v>299</v>
      </c>
      <c r="C114" s="584"/>
      <c r="D114" s="352" t="s">
        <v>346</v>
      </c>
      <c r="E114" s="585">
        <v>116105919</v>
      </c>
      <c r="F114" s="585"/>
      <c r="G114" s="505">
        <v>2.1999999999999999E-2</v>
      </c>
      <c r="H114" s="505"/>
      <c r="I114" s="506">
        <f>E114*G114/4</f>
        <v>638582.55449999997</v>
      </c>
      <c r="J114" s="506"/>
    </row>
    <row r="115" spans="1:12" ht="17.25" customHeight="1" x14ac:dyDescent="0.25">
      <c r="A115" s="582"/>
      <c r="B115" s="584"/>
      <c r="C115" s="584"/>
      <c r="D115" s="353" t="s">
        <v>347</v>
      </c>
      <c r="E115" s="585">
        <v>116105919</v>
      </c>
      <c r="F115" s="585"/>
      <c r="G115" s="505">
        <v>2.1999999999999999E-2</v>
      </c>
      <c r="H115" s="505"/>
      <c r="I115" s="506">
        <f>E115*G115/4*3-4330.22</f>
        <v>1911417.4434999998</v>
      </c>
      <c r="J115" s="506"/>
    </row>
    <row r="116" spans="1:12" ht="18" hidden="1" customHeight="1" x14ac:dyDescent="0.25">
      <c r="A116" s="343" t="s">
        <v>75</v>
      </c>
      <c r="B116" s="455" t="s">
        <v>301</v>
      </c>
      <c r="C116" s="456"/>
      <c r="D116" s="457"/>
      <c r="E116" s="515"/>
      <c r="F116" s="515"/>
      <c r="G116" s="515"/>
      <c r="H116" s="515"/>
      <c r="I116" s="506">
        <f t="shared" ref="I116:I117" si="8">E116*G116/100</f>
        <v>0</v>
      </c>
      <c r="J116" s="506"/>
    </row>
    <row r="117" spans="1:12" ht="31.5" hidden="1" customHeight="1" x14ac:dyDescent="0.25">
      <c r="A117" s="343" t="s">
        <v>77</v>
      </c>
      <c r="B117" s="455" t="s">
        <v>302</v>
      </c>
      <c r="C117" s="456"/>
      <c r="D117" s="457"/>
      <c r="E117" s="515"/>
      <c r="F117" s="515"/>
      <c r="G117" s="515"/>
      <c r="H117" s="515"/>
      <c r="I117" s="506">
        <f t="shared" si="8"/>
        <v>0</v>
      </c>
      <c r="J117" s="506"/>
    </row>
    <row r="118" spans="1:12" ht="15.75" customHeight="1" x14ac:dyDescent="0.25">
      <c r="A118" s="344"/>
      <c r="B118" s="507" t="s">
        <v>13</v>
      </c>
      <c r="C118" s="507"/>
      <c r="D118" s="507"/>
      <c r="E118" s="508" t="s">
        <v>74</v>
      </c>
      <c r="F118" s="508"/>
      <c r="G118" s="508" t="s">
        <v>14</v>
      </c>
      <c r="H118" s="508"/>
      <c r="I118" s="509">
        <f>I114+I115+I116+I117</f>
        <v>2549999.9979999997</v>
      </c>
      <c r="J118" s="508"/>
    </row>
    <row r="119" spans="1:12" ht="27" customHeight="1" x14ac:dyDescent="0.25">
      <c r="A119" s="489" t="s">
        <v>85</v>
      </c>
      <c r="B119" s="489"/>
      <c r="C119" s="489"/>
      <c r="D119" s="489"/>
      <c r="E119" s="489"/>
      <c r="F119" s="489"/>
      <c r="G119" s="489"/>
      <c r="H119" s="489"/>
      <c r="I119" s="489"/>
      <c r="J119" s="489"/>
      <c r="K119" s="495"/>
      <c r="L119" s="495"/>
    </row>
    <row r="120" spans="1:12" s="41" customFormat="1" ht="15.75" customHeight="1" x14ac:dyDescent="0.25">
      <c r="A120" s="92" t="s">
        <v>80</v>
      </c>
      <c r="B120" s="93"/>
      <c r="C120" s="97"/>
      <c r="D120" s="97"/>
      <c r="E120" s="97"/>
      <c r="F120" s="98"/>
      <c r="G120" s="98"/>
      <c r="H120" s="98"/>
      <c r="I120" s="98"/>
      <c r="J120" s="98"/>
      <c r="K120" s="42"/>
      <c r="L120" s="43"/>
    </row>
    <row r="121" spans="1:12" s="41" customFormat="1" ht="15.75" x14ac:dyDescent="0.25">
      <c r="A121" s="92" t="s">
        <v>81</v>
      </c>
      <c r="B121" s="93"/>
      <c r="C121" s="93"/>
      <c r="D121" s="93"/>
      <c r="E121" s="99"/>
      <c r="F121" s="100"/>
      <c r="G121" s="100"/>
      <c r="H121" s="100"/>
      <c r="I121" s="100"/>
      <c r="J121" s="100"/>
    </row>
    <row r="122" spans="1:12" ht="24.75" customHeight="1" x14ac:dyDescent="0.25">
      <c r="A122" s="341" t="s">
        <v>1</v>
      </c>
      <c r="B122" s="402" t="s">
        <v>44</v>
      </c>
      <c r="C122" s="402"/>
      <c r="D122" s="402"/>
      <c r="E122" s="402" t="s">
        <v>45</v>
      </c>
      <c r="F122" s="402"/>
      <c r="G122" s="402" t="s">
        <v>46</v>
      </c>
      <c r="H122" s="402"/>
      <c r="I122" s="402" t="s">
        <v>102</v>
      </c>
      <c r="J122" s="402"/>
      <c r="K122" s="11"/>
      <c r="L122" s="11"/>
    </row>
    <row r="123" spans="1:12" ht="14.25" customHeight="1" x14ac:dyDescent="0.25">
      <c r="A123" s="341">
        <v>1</v>
      </c>
      <c r="B123" s="402">
        <v>2</v>
      </c>
      <c r="C123" s="402"/>
      <c r="D123" s="402"/>
      <c r="E123" s="402">
        <v>3</v>
      </c>
      <c r="F123" s="402"/>
      <c r="G123" s="402">
        <v>4</v>
      </c>
      <c r="H123" s="402"/>
      <c r="I123" s="402">
        <v>5</v>
      </c>
      <c r="J123" s="402"/>
      <c r="K123" s="357"/>
      <c r="L123" s="358"/>
    </row>
    <row r="124" spans="1:12" ht="15" hidden="1" customHeight="1" x14ac:dyDescent="0.25">
      <c r="A124" s="343"/>
      <c r="B124" s="496"/>
      <c r="C124" s="504"/>
      <c r="D124" s="497"/>
      <c r="E124" s="496"/>
      <c r="F124" s="497"/>
      <c r="G124" s="496"/>
      <c r="H124" s="497"/>
      <c r="I124" s="496"/>
      <c r="J124" s="497"/>
      <c r="K124" s="11"/>
      <c r="L124" s="11"/>
    </row>
    <row r="125" spans="1:12" ht="17.25" customHeight="1" x14ac:dyDescent="0.25">
      <c r="A125" s="344"/>
      <c r="B125" s="507" t="s">
        <v>13</v>
      </c>
      <c r="C125" s="507"/>
      <c r="D125" s="507"/>
      <c r="E125" s="508" t="s">
        <v>14</v>
      </c>
      <c r="F125" s="508"/>
      <c r="G125" s="508" t="s">
        <v>14</v>
      </c>
      <c r="H125" s="508"/>
      <c r="I125" s="508"/>
      <c r="J125" s="508"/>
      <c r="K125" s="11"/>
      <c r="L125" s="11"/>
    </row>
    <row r="126" spans="1:12" ht="16.5" customHeight="1" x14ac:dyDescent="0.25">
      <c r="A126" s="433" t="s">
        <v>91</v>
      </c>
      <c r="B126" s="433"/>
      <c r="C126" s="433"/>
      <c r="D126" s="433"/>
      <c r="E126" s="433"/>
      <c r="F126" s="433"/>
      <c r="G126" s="433"/>
      <c r="H126" s="433"/>
      <c r="I126" s="433"/>
      <c r="J126" s="433"/>
      <c r="K126" s="11"/>
      <c r="L126" s="11"/>
    </row>
    <row r="127" spans="1:12" ht="18" customHeight="1" x14ac:dyDescent="0.25">
      <c r="A127" s="92" t="s">
        <v>80</v>
      </c>
      <c r="B127" s="93"/>
      <c r="C127" s="97"/>
      <c r="D127" s="97"/>
      <c r="E127" s="97"/>
      <c r="F127" s="98"/>
      <c r="G127" s="98"/>
      <c r="H127" s="98"/>
      <c r="I127" s="98"/>
      <c r="J127" s="98"/>
      <c r="K127" s="11"/>
      <c r="L127" s="11"/>
    </row>
    <row r="128" spans="1:12" ht="18" customHeight="1" x14ac:dyDescent="0.25">
      <c r="A128" s="92" t="s">
        <v>81</v>
      </c>
      <c r="B128" s="93"/>
      <c r="C128" s="93"/>
      <c r="D128" s="93"/>
      <c r="E128" s="99"/>
      <c r="F128" s="100"/>
      <c r="G128" s="99"/>
      <c r="H128" s="100"/>
      <c r="I128" s="100"/>
      <c r="J128" s="100"/>
      <c r="K128" s="11"/>
      <c r="L128" s="11"/>
    </row>
    <row r="129" spans="1:14" ht="30" customHeight="1" x14ac:dyDescent="0.25">
      <c r="A129" s="341" t="s">
        <v>1</v>
      </c>
      <c r="B129" s="402" t="s">
        <v>44</v>
      </c>
      <c r="C129" s="402"/>
      <c r="D129" s="402"/>
      <c r="E129" s="402" t="s">
        <v>45</v>
      </c>
      <c r="F129" s="402"/>
      <c r="G129" s="402" t="s">
        <v>46</v>
      </c>
      <c r="H129" s="402"/>
      <c r="I129" s="402" t="s">
        <v>102</v>
      </c>
      <c r="J129" s="402"/>
      <c r="K129" s="186"/>
      <c r="L129" s="11"/>
    </row>
    <row r="130" spans="1:14" ht="17.25" customHeight="1" x14ac:dyDescent="0.25">
      <c r="A130" s="341">
        <v>1</v>
      </c>
      <c r="B130" s="402">
        <v>2</v>
      </c>
      <c r="C130" s="402"/>
      <c r="D130" s="402"/>
      <c r="E130" s="402">
        <v>3</v>
      </c>
      <c r="F130" s="402"/>
      <c r="G130" s="402">
        <v>4</v>
      </c>
      <c r="H130" s="402"/>
      <c r="I130" s="402">
        <v>5</v>
      </c>
      <c r="J130" s="402"/>
      <c r="K130" s="11"/>
      <c r="L130" s="11"/>
    </row>
    <row r="131" spans="1:14" ht="21.75" hidden="1" customHeight="1" x14ac:dyDescent="0.25">
      <c r="A131" s="343"/>
      <c r="B131" s="496"/>
      <c r="C131" s="504"/>
      <c r="D131" s="497"/>
      <c r="E131" s="496"/>
      <c r="F131" s="497"/>
      <c r="G131" s="496"/>
      <c r="H131" s="497"/>
      <c r="I131" s="496"/>
      <c r="J131" s="497"/>
      <c r="K131" s="11"/>
      <c r="L131" s="187"/>
    </row>
    <row r="132" spans="1:14" ht="15" customHeight="1" x14ac:dyDescent="0.25">
      <c r="A132" s="343"/>
      <c r="B132" s="507" t="s">
        <v>13</v>
      </c>
      <c r="C132" s="507"/>
      <c r="D132" s="507"/>
      <c r="E132" s="508" t="s">
        <v>14</v>
      </c>
      <c r="F132" s="508"/>
      <c r="G132" s="508" t="s">
        <v>14</v>
      </c>
      <c r="H132" s="508"/>
      <c r="I132" s="508"/>
      <c r="J132" s="508"/>
      <c r="K132" s="11"/>
      <c r="L132" s="11"/>
      <c r="M132" s="14"/>
    </row>
    <row r="133" spans="1:14" ht="29.25" customHeight="1" x14ac:dyDescent="0.25">
      <c r="A133" s="433" t="s">
        <v>49</v>
      </c>
      <c r="B133" s="433"/>
      <c r="C133" s="433"/>
      <c r="D133" s="433"/>
      <c r="E133" s="433"/>
      <c r="F133" s="433"/>
      <c r="G133" s="433"/>
      <c r="H133" s="433"/>
      <c r="I133" s="433"/>
      <c r="J133" s="433"/>
      <c r="K133" s="11"/>
      <c r="L133" s="11"/>
      <c r="M133" s="14"/>
    </row>
    <row r="134" spans="1:14" ht="19.5" customHeight="1" x14ac:dyDescent="0.25">
      <c r="A134" s="92" t="s">
        <v>80</v>
      </c>
      <c r="B134" s="93"/>
      <c r="C134" s="97">
        <v>244</v>
      </c>
      <c r="D134" s="97"/>
      <c r="E134" s="97"/>
      <c r="F134" s="98"/>
      <c r="G134" s="98"/>
      <c r="H134" s="98"/>
      <c r="I134" s="98"/>
      <c r="J134" s="98"/>
      <c r="K134" s="11"/>
      <c r="L134" s="11"/>
      <c r="M134" s="14"/>
    </row>
    <row r="135" spans="1:14" ht="17.25" customHeight="1" x14ac:dyDescent="0.25">
      <c r="A135" s="92" t="s">
        <v>81</v>
      </c>
      <c r="B135" s="93"/>
      <c r="C135" s="93"/>
      <c r="D135" s="93"/>
      <c r="E135" s="99" t="s">
        <v>82</v>
      </c>
      <c r="F135" s="100"/>
      <c r="G135" s="99"/>
      <c r="H135" s="100"/>
      <c r="I135" s="100"/>
      <c r="J135" s="100"/>
      <c r="K135" s="11"/>
      <c r="L135" s="11"/>
      <c r="M135" s="14"/>
    </row>
    <row r="136" spans="1:14" ht="17.25" customHeight="1" x14ac:dyDescent="0.25">
      <c r="A136" s="433" t="s">
        <v>304</v>
      </c>
      <c r="B136" s="433"/>
      <c r="C136" s="433"/>
      <c r="D136" s="433"/>
      <c r="E136" s="433"/>
      <c r="F136" s="433"/>
      <c r="G136" s="433"/>
      <c r="H136" s="433"/>
      <c r="I136" s="433"/>
      <c r="J136" s="433"/>
      <c r="K136" s="11"/>
      <c r="L136" s="11"/>
      <c r="M136" s="14"/>
    </row>
    <row r="137" spans="1:14" ht="39.75" customHeight="1" x14ac:dyDescent="0.25">
      <c r="A137" s="341" t="s">
        <v>1</v>
      </c>
      <c r="B137" s="402" t="s">
        <v>15</v>
      </c>
      <c r="C137" s="402"/>
      <c r="D137" s="402"/>
      <c r="E137" s="341" t="s">
        <v>50</v>
      </c>
      <c r="F137" s="341" t="s">
        <v>51</v>
      </c>
      <c r="G137" s="402" t="s">
        <v>52</v>
      </c>
      <c r="H137" s="402"/>
      <c r="I137" s="402" t="s">
        <v>104</v>
      </c>
      <c r="J137" s="402"/>
      <c r="K137" s="11"/>
      <c r="L137" s="11"/>
      <c r="M137" s="14"/>
    </row>
    <row r="138" spans="1:14" ht="15" customHeight="1" x14ac:dyDescent="0.25">
      <c r="A138" s="341">
        <v>1</v>
      </c>
      <c r="B138" s="402">
        <v>2</v>
      </c>
      <c r="C138" s="402"/>
      <c r="D138" s="402"/>
      <c r="E138" s="341">
        <v>3</v>
      </c>
      <c r="F138" s="341">
        <v>4</v>
      </c>
      <c r="G138" s="402">
        <v>5</v>
      </c>
      <c r="H138" s="402"/>
      <c r="I138" s="402">
        <v>6</v>
      </c>
      <c r="J138" s="402"/>
      <c r="K138" s="11"/>
      <c r="L138" s="11"/>
      <c r="M138" s="14"/>
    </row>
    <row r="139" spans="1:14" ht="14.25" customHeight="1" x14ac:dyDescent="0.25">
      <c r="A139" s="350">
        <v>1</v>
      </c>
      <c r="B139" s="498" t="s">
        <v>545</v>
      </c>
      <c r="C139" s="499"/>
      <c r="D139" s="500"/>
      <c r="E139" s="205" t="s">
        <v>74</v>
      </c>
      <c r="F139" s="205" t="s">
        <v>74</v>
      </c>
      <c r="G139" s="501" t="s">
        <v>74</v>
      </c>
      <c r="H139" s="501"/>
      <c r="I139" s="502">
        <f>I140+I141+I142+I143</f>
        <v>135000</v>
      </c>
      <c r="J139" s="502"/>
      <c r="K139" s="11"/>
      <c r="L139" s="11"/>
      <c r="M139" s="14"/>
    </row>
    <row r="140" spans="1:14" ht="27.75" customHeight="1" x14ac:dyDescent="0.25">
      <c r="A140" s="343" t="s">
        <v>348</v>
      </c>
      <c r="B140" s="510" t="s">
        <v>546</v>
      </c>
      <c r="C140" s="510"/>
      <c r="D140" s="510"/>
      <c r="E140" s="343">
        <v>11</v>
      </c>
      <c r="F140" s="343">
        <v>12</v>
      </c>
      <c r="G140" s="512">
        <v>8000</v>
      </c>
      <c r="H140" s="512"/>
      <c r="I140" s="506">
        <f>F140*G140</f>
        <v>96000</v>
      </c>
      <c r="J140" s="506"/>
      <c r="K140" s="13"/>
      <c r="L140" s="13"/>
      <c r="M140" s="14"/>
    </row>
    <row r="141" spans="1:14" x14ac:dyDescent="0.25">
      <c r="A141" s="343" t="s">
        <v>349</v>
      </c>
      <c r="B141" s="510" t="s">
        <v>547</v>
      </c>
      <c r="C141" s="510"/>
      <c r="D141" s="510"/>
      <c r="E141" s="343">
        <v>1</v>
      </c>
      <c r="F141" s="343">
        <v>2</v>
      </c>
      <c r="G141" s="513">
        <v>2000</v>
      </c>
      <c r="H141" s="513"/>
      <c r="I141" s="506">
        <f>F141*G141+2200</f>
        <v>6200</v>
      </c>
      <c r="J141" s="506"/>
      <c r="M141" s="14"/>
    </row>
    <row r="142" spans="1:14" ht="29.25" customHeight="1" x14ac:dyDescent="0.25">
      <c r="A142" s="343" t="s">
        <v>350</v>
      </c>
      <c r="B142" s="510" t="s">
        <v>96</v>
      </c>
      <c r="C142" s="510"/>
      <c r="D142" s="510"/>
      <c r="E142" s="343">
        <v>1</v>
      </c>
      <c r="F142" s="343">
        <v>1</v>
      </c>
      <c r="G142" s="511">
        <v>600</v>
      </c>
      <c r="H142" s="511"/>
      <c r="I142" s="506">
        <f t="shared" ref="I142:I143" si="9">F142*G142</f>
        <v>600</v>
      </c>
      <c r="J142" s="506"/>
      <c r="M142" s="14"/>
    </row>
    <row r="143" spans="1:14" x14ac:dyDescent="0.25">
      <c r="A143" s="343" t="s">
        <v>270</v>
      </c>
      <c r="B143" s="510" t="s">
        <v>548</v>
      </c>
      <c r="C143" s="510"/>
      <c r="D143" s="510"/>
      <c r="E143" s="343">
        <v>1</v>
      </c>
      <c r="F143" s="343">
        <v>4.5999999999999996</v>
      </c>
      <c r="G143" s="511">
        <v>7000</v>
      </c>
      <c r="H143" s="511"/>
      <c r="I143" s="506">
        <f t="shared" si="9"/>
        <v>32199.999999999996</v>
      </c>
      <c r="J143" s="506"/>
      <c r="M143" s="14"/>
    </row>
    <row r="144" spans="1:14" ht="16.5" customHeight="1" x14ac:dyDescent="0.25">
      <c r="A144" s="343"/>
      <c r="B144" s="507" t="s">
        <v>512</v>
      </c>
      <c r="C144" s="507"/>
      <c r="D144" s="507"/>
      <c r="E144" s="344" t="s">
        <v>14</v>
      </c>
      <c r="F144" s="344" t="s">
        <v>14</v>
      </c>
      <c r="G144" s="508" t="s">
        <v>14</v>
      </c>
      <c r="H144" s="508"/>
      <c r="I144" s="509">
        <f>I139</f>
        <v>135000</v>
      </c>
      <c r="J144" s="508"/>
      <c r="K144" s="146"/>
      <c r="N144" s="148"/>
    </row>
    <row r="145" spans="1:13" ht="12" customHeight="1" x14ac:dyDescent="0.25">
      <c r="A145" s="101"/>
      <c r="B145" s="93"/>
      <c r="C145" s="93"/>
      <c r="D145" s="93"/>
      <c r="E145" s="93"/>
      <c r="F145" s="93"/>
      <c r="G145" s="93"/>
      <c r="H145" s="93"/>
      <c r="I145" s="93"/>
      <c r="J145" s="93"/>
      <c r="K145" s="14"/>
      <c r="M145" s="85"/>
    </row>
    <row r="146" spans="1:13" ht="18.75" customHeight="1" x14ac:dyDescent="0.25">
      <c r="A146" s="433" t="s">
        <v>288</v>
      </c>
      <c r="B146" s="433"/>
      <c r="C146" s="433"/>
      <c r="D146" s="433"/>
      <c r="E146" s="433"/>
      <c r="F146" s="433"/>
      <c r="G146" s="433"/>
      <c r="H146" s="433"/>
      <c r="I146" s="433"/>
      <c r="J146" s="433"/>
      <c r="K146" s="14"/>
      <c r="M146" s="85"/>
    </row>
    <row r="147" spans="1:13" ht="12.75" customHeight="1" x14ac:dyDescent="0.25">
      <c r="A147" s="341" t="s">
        <v>1</v>
      </c>
      <c r="B147" s="402" t="s">
        <v>15</v>
      </c>
      <c r="C147" s="402"/>
      <c r="D147" s="402"/>
      <c r="E147" s="402" t="s">
        <v>53</v>
      </c>
      <c r="F147" s="402"/>
      <c r="G147" s="402" t="s">
        <v>54</v>
      </c>
      <c r="H147" s="402"/>
      <c r="I147" s="402" t="s">
        <v>264</v>
      </c>
      <c r="J147" s="402"/>
      <c r="K147" s="14"/>
      <c r="M147" s="85"/>
    </row>
    <row r="148" spans="1:13" ht="15" customHeight="1" x14ac:dyDescent="0.25">
      <c r="A148" s="341">
        <v>1</v>
      </c>
      <c r="B148" s="402">
        <v>2</v>
      </c>
      <c r="C148" s="402"/>
      <c r="D148" s="402"/>
      <c r="E148" s="402">
        <v>3</v>
      </c>
      <c r="F148" s="402"/>
      <c r="G148" s="402">
        <v>4</v>
      </c>
      <c r="H148" s="402"/>
      <c r="I148" s="402">
        <v>5</v>
      </c>
      <c r="J148" s="402"/>
      <c r="K148" s="14"/>
      <c r="M148" s="85"/>
    </row>
    <row r="149" spans="1:13" ht="17.25" hidden="1" customHeight="1" x14ac:dyDescent="0.25">
      <c r="A149" s="343">
        <v>1</v>
      </c>
      <c r="B149" s="414" t="s">
        <v>330</v>
      </c>
      <c r="C149" s="415"/>
      <c r="D149" s="416"/>
      <c r="E149" s="515"/>
      <c r="F149" s="515"/>
      <c r="G149" s="516"/>
      <c r="H149" s="516"/>
      <c r="I149" s="516">
        <f>E149*G149</f>
        <v>0</v>
      </c>
      <c r="J149" s="516"/>
      <c r="K149" s="14"/>
      <c r="M149" s="85"/>
    </row>
    <row r="150" spans="1:13" x14ac:dyDescent="0.25">
      <c r="A150" s="343"/>
      <c r="B150" s="507" t="s">
        <v>13</v>
      </c>
      <c r="C150" s="507"/>
      <c r="D150" s="507"/>
      <c r="E150" s="508" t="s">
        <v>74</v>
      </c>
      <c r="F150" s="508"/>
      <c r="G150" s="508" t="s">
        <v>74</v>
      </c>
      <c r="H150" s="508"/>
      <c r="I150" s="514">
        <f>I149</f>
        <v>0</v>
      </c>
      <c r="J150" s="508"/>
    </row>
    <row r="151" spans="1:13" ht="24" customHeight="1" x14ac:dyDescent="0.25">
      <c r="A151" s="433" t="s">
        <v>284</v>
      </c>
      <c r="B151" s="433"/>
      <c r="C151" s="433"/>
      <c r="D151" s="433"/>
      <c r="E151" s="433"/>
      <c r="F151" s="433"/>
      <c r="G151" s="433"/>
      <c r="H151" s="433"/>
      <c r="I151" s="433"/>
      <c r="J151" s="433"/>
    </row>
    <row r="152" spans="1:13" s="41" customFormat="1" ht="25.5" customHeight="1" x14ac:dyDescent="0.2">
      <c r="A152" s="341" t="s">
        <v>1</v>
      </c>
      <c r="B152" s="402" t="s">
        <v>44</v>
      </c>
      <c r="C152" s="402"/>
      <c r="D152" s="402"/>
      <c r="E152" s="341" t="s">
        <v>55</v>
      </c>
      <c r="F152" s="402" t="s">
        <v>56</v>
      </c>
      <c r="G152" s="402"/>
      <c r="H152" s="341" t="s">
        <v>57</v>
      </c>
      <c r="I152" s="402" t="s">
        <v>104</v>
      </c>
      <c r="J152" s="402"/>
    </row>
    <row r="153" spans="1:13" s="41" customFormat="1" ht="12.75" x14ac:dyDescent="0.2">
      <c r="A153" s="341">
        <v>1</v>
      </c>
      <c r="B153" s="402">
        <v>2</v>
      </c>
      <c r="C153" s="402"/>
      <c r="D153" s="402"/>
      <c r="E153" s="341">
        <v>3</v>
      </c>
      <c r="F153" s="402">
        <v>4</v>
      </c>
      <c r="G153" s="402"/>
      <c r="H153" s="341">
        <v>5</v>
      </c>
      <c r="I153" s="402">
        <v>6</v>
      </c>
      <c r="J153" s="402"/>
    </row>
    <row r="154" spans="1:13" ht="15" customHeight="1" x14ac:dyDescent="0.25">
      <c r="A154" s="350" t="s">
        <v>70</v>
      </c>
      <c r="B154" s="498" t="s">
        <v>151</v>
      </c>
      <c r="C154" s="499"/>
      <c r="D154" s="500"/>
      <c r="E154" s="103">
        <f>E155+E156</f>
        <v>275</v>
      </c>
      <c r="F154" s="519"/>
      <c r="G154" s="520"/>
      <c r="H154" s="104">
        <f>F156/F155-100%</f>
        <v>3.5000412984224072E-2</v>
      </c>
      <c r="I154" s="521">
        <f>I155+I156+14</f>
        <v>542000</v>
      </c>
      <c r="J154" s="522"/>
      <c r="K154" s="14"/>
    </row>
    <row r="155" spans="1:13" ht="15" customHeight="1" x14ac:dyDescent="0.25">
      <c r="A155" s="343"/>
      <c r="B155" s="515" t="s">
        <v>100</v>
      </c>
      <c r="C155" s="515"/>
      <c r="D155" s="515"/>
      <c r="E155" s="346">
        <v>150</v>
      </c>
      <c r="F155" s="517">
        <v>1937.12</v>
      </c>
      <c r="G155" s="518"/>
      <c r="H155" s="343"/>
      <c r="I155" s="506">
        <f>E155*F155</f>
        <v>290568</v>
      </c>
      <c r="J155" s="506"/>
      <c r="K155" s="14"/>
    </row>
    <row r="156" spans="1:13" ht="15" customHeight="1" x14ac:dyDescent="0.25">
      <c r="A156" s="343"/>
      <c r="B156" s="515" t="s">
        <v>101</v>
      </c>
      <c r="C156" s="515"/>
      <c r="D156" s="515"/>
      <c r="E156" s="346">
        <v>125</v>
      </c>
      <c r="F156" s="517">
        <v>2004.92</v>
      </c>
      <c r="G156" s="518"/>
      <c r="H156" s="343"/>
      <c r="I156" s="506">
        <f>E156*F156+803</f>
        <v>251418</v>
      </c>
      <c r="J156" s="506"/>
      <c r="K156" s="14"/>
    </row>
    <row r="157" spans="1:13" ht="15" customHeight="1" x14ac:dyDescent="0.25">
      <c r="A157" s="350" t="s">
        <v>75</v>
      </c>
      <c r="B157" s="498" t="s">
        <v>153</v>
      </c>
      <c r="C157" s="499"/>
      <c r="D157" s="500"/>
      <c r="E157" s="103">
        <f>E158+E159</f>
        <v>0</v>
      </c>
      <c r="F157" s="519"/>
      <c r="G157" s="520"/>
      <c r="H157" s="104">
        <f>F159/F158-100%</f>
        <v>3.5040944581984368E-2</v>
      </c>
      <c r="I157" s="521">
        <f>I158+I159</f>
        <v>0</v>
      </c>
      <c r="J157" s="522"/>
      <c r="K157" s="14"/>
    </row>
    <row r="158" spans="1:13" ht="15" customHeight="1" x14ac:dyDescent="0.25">
      <c r="A158" s="343"/>
      <c r="B158" s="515" t="s">
        <v>100</v>
      </c>
      <c r="C158" s="515"/>
      <c r="D158" s="515"/>
      <c r="E158" s="346"/>
      <c r="F158" s="517">
        <v>52.51</v>
      </c>
      <c r="G158" s="518"/>
      <c r="H158" s="343"/>
      <c r="I158" s="506"/>
      <c r="J158" s="506"/>
      <c r="K158" s="14"/>
    </row>
    <row r="159" spans="1:13" ht="15" customHeight="1" x14ac:dyDescent="0.25">
      <c r="A159" s="343"/>
      <c r="B159" s="515" t="s">
        <v>101</v>
      </c>
      <c r="C159" s="515"/>
      <c r="D159" s="515"/>
      <c r="E159" s="346"/>
      <c r="F159" s="517">
        <v>54.35</v>
      </c>
      <c r="G159" s="518"/>
      <c r="H159" s="343"/>
      <c r="I159" s="506"/>
      <c r="J159" s="506"/>
      <c r="K159" s="14"/>
    </row>
    <row r="160" spans="1:13" ht="15" customHeight="1" x14ac:dyDescent="0.25">
      <c r="A160" s="350" t="s">
        <v>77</v>
      </c>
      <c r="B160" s="498" t="s">
        <v>154</v>
      </c>
      <c r="C160" s="499"/>
      <c r="D160" s="500"/>
      <c r="E160" s="103">
        <f>E161+E162</f>
        <v>0</v>
      </c>
      <c r="F160" s="519"/>
      <c r="G160" s="520"/>
      <c r="H160" s="104">
        <f>F162/F161-100%</f>
        <v>3.461841070023608E-2</v>
      </c>
      <c r="I160" s="521">
        <f>I161+I162</f>
        <v>0</v>
      </c>
      <c r="J160" s="522"/>
    </row>
    <row r="161" spans="1:11" ht="15" customHeight="1" x14ac:dyDescent="0.35">
      <c r="A161" s="343"/>
      <c r="B161" s="515" t="s">
        <v>100</v>
      </c>
      <c r="C161" s="515"/>
      <c r="D161" s="515"/>
      <c r="E161" s="346"/>
      <c r="F161" s="517">
        <v>63.55</v>
      </c>
      <c r="G161" s="518"/>
      <c r="H161" s="343"/>
      <c r="I161" s="506"/>
      <c r="J161" s="506"/>
      <c r="K161" s="188"/>
    </row>
    <row r="162" spans="1:11" ht="15" customHeight="1" x14ac:dyDescent="0.25">
      <c r="A162" s="343"/>
      <c r="B162" s="515" t="s">
        <v>101</v>
      </c>
      <c r="C162" s="515"/>
      <c r="D162" s="515"/>
      <c r="E162" s="346"/>
      <c r="F162" s="517">
        <v>65.75</v>
      </c>
      <c r="G162" s="518"/>
      <c r="H162" s="343"/>
      <c r="I162" s="506"/>
      <c r="J162" s="506"/>
      <c r="K162" s="15"/>
    </row>
    <row r="163" spans="1:11" ht="15" customHeight="1" x14ac:dyDescent="0.25">
      <c r="A163" s="350" t="s">
        <v>86</v>
      </c>
      <c r="B163" s="498" t="s">
        <v>155</v>
      </c>
      <c r="C163" s="499"/>
      <c r="D163" s="500"/>
      <c r="E163" s="112">
        <f>E164+E165</f>
        <v>11000</v>
      </c>
      <c r="F163" s="519"/>
      <c r="G163" s="520"/>
      <c r="H163" s="104">
        <f>F165/F164-100%</f>
        <v>0</v>
      </c>
      <c r="I163" s="521">
        <f>I164+I165</f>
        <v>71000</v>
      </c>
      <c r="J163" s="522"/>
      <c r="K163" s="14"/>
    </row>
    <row r="164" spans="1:11" ht="15" customHeight="1" x14ac:dyDescent="0.25">
      <c r="A164" s="343"/>
      <c r="B164" s="515" t="s">
        <v>100</v>
      </c>
      <c r="C164" s="515"/>
      <c r="D164" s="515"/>
      <c r="E164" s="349">
        <v>6000</v>
      </c>
      <c r="F164" s="517">
        <v>6.5</v>
      </c>
      <c r="G164" s="518"/>
      <c r="H164" s="343"/>
      <c r="I164" s="506">
        <f>E164*F164-400</f>
        <v>38600</v>
      </c>
      <c r="J164" s="506"/>
      <c r="K164" s="14"/>
    </row>
    <row r="165" spans="1:11" ht="15" customHeight="1" x14ac:dyDescent="0.25">
      <c r="A165" s="343"/>
      <c r="B165" s="515" t="s">
        <v>101</v>
      </c>
      <c r="C165" s="515"/>
      <c r="D165" s="515"/>
      <c r="E165" s="349">
        <v>5000</v>
      </c>
      <c r="F165" s="517">
        <v>6.5</v>
      </c>
      <c r="G165" s="518"/>
      <c r="H165" s="343"/>
      <c r="I165" s="506">
        <f>E165*F165-100</f>
        <v>32400</v>
      </c>
      <c r="J165" s="506"/>
    </row>
    <row r="166" spans="1:11" ht="15" customHeight="1" x14ac:dyDescent="0.25">
      <c r="A166" s="350" t="s">
        <v>87</v>
      </c>
      <c r="B166" s="498" t="s">
        <v>549</v>
      </c>
      <c r="C166" s="499"/>
      <c r="D166" s="500"/>
      <c r="E166" s="112"/>
      <c r="F166" s="519"/>
      <c r="G166" s="520"/>
      <c r="H166" s="104">
        <v>0</v>
      </c>
      <c r="I166" s="521">
        <v>100000</v>
      </c>
      <c r="J166" s="522"/>
      <c r="K166" s="148"/>
    </row>
    <row r="167" spans="1:11" ht="15" customHeight="1" x14ac:dyDescent="0.25">
      <c r="A167" s="343"/>
      <c r="B167" s="507" t="s">
        <v>13</v>
      </c>
      <c r="C167" s="507"/>
      <c r="D167" s="507"/>
      <c r="E167" s="344" t="s">
        <v>14</v>
      </c>
      <c r="F167" s="508" t="s">
        <v>14</v>
      </c>
      <c r="G167" s="508"/>
      <c r="H167" s="344" t="s">
        <v>14</v>
      </c>
      <c r="I167" s="509">
        <f>I154+I157+I160+I163+I166</f>
        <v>713000</v>
      </c>
      <c r="J167" s="508"/>
    </row>
    <row r="168" spans="1:11" s="41" customFormat="1" ht="19.5" customHeight="1" x14ac:dyDescent="0.25">
      <c r="A168" s="433" t="s">
        <v>289</v>
      </c>
      <c r="B168" s="433"/>
      <c r="C168" s="433"/>
      <c r="D168" s="433"/>
      <c r="E168" s="433"/>
      <c r="F168" s="433"/>
      <c r="G168" s="433"/>
      <c r="H168" s="433"/>
      <c r="I168" s="433"/>
      <c r="J168" s="433"/>
    </row>
    <row r="169" spans="1:11" s="41" customFormat="1" ht="15" customHeight="1" x14ac:dyDescent="0.2">
      <c r="A169" s="341" t="s">
        <v>1</v>
      </c>
      <c r="B169" s="402" t="s">
        <v>44</v>
      </c>
      <c r="C169" s="402"/>
      <c r="D169" s="402"/>
      <c r="E169" s="402" t="s">
        <v>58</v>
      </c>
      <c r="F169" s="402"/>
      <c r="G169" s="402" t="s">
        <v>59</v>
      </c>
      <c r="H169" s="402"/>
      <c r="I169" s="402" t="s">
        <v>60</v>
      </c>
      <c r="J169" s="402"/>
    </row>
    <row r="170" spans="1:11" ht="15" customHeight="1" x14ac:dyDescent="0.25">
      <c r="A170" s="341">
        <v>1</v>
      </c>
      <c r="B170" s="402">
        <v>2</v>
      </c>
      <c r="C170" s="402"/>
      <c r="D170" s="402"/>
      <c r="E170" s="402">
        <v>3</v>
      </c>
      <c r="F170" s="402"/>
      <c r="G170" s="402">
        <v>4</v>
      </c>
      <c r="H170" s="402"/>
      <c r="I170" s="402">
        <v>5</v>
      </c>
      <c r="J170" s="402"/>
      <c r="K170" s="15"/>
    </row>
    <row r="171" spans="1:11" ht="15" hidden="1" customHeight="1" x14ac:dyDescent="0.25">
      <c r="A171" s="343"/>
      <c r="B171" s="496"/>
      <c r="C171" s="504"/>
      <c r="D171" s="497"/>
      <c r="E171" s="515"/>
      <c r="F171" s="515"/>
      <c r="G171" s="515"/>
      <c r="H171" s="515"/>
      <c r="I171" s="515"/>
      <c r="J171" s="515"/>
      <c r="K171" s="14"/>
    </row>
    <row r="172" spans="1:11" ht="15" customHeight="1" x14ac:dyDescent="0.25">
      <c r="A172" s="344"/>
      <c r="B172" s="507" t="s">
        <v>13</v>
      </c>
      <c r="C172" s="507"/>
      <c r="D172" s="507"/>
      <c r="E172" s="508" t="s">
        <v>14</v>
      </c>
      <c r="F172" s="508"/>
      <c r="G172" s="508" t="s">
        <v>14</v>
      </c>
      <c r="H172" s="508"/>
      <c r="I172" s="508"/>
      <c r="J172" s="508"/>
    </row>
    <row r="173" spans="1:11" ht="16.5" customHeight="1" x14ac:dyDescent="0.25">
      <c r="A173" s="433" t="s">
        <v>285</v>
      </c>
      <c r="B173" s="433"/>
      <c r="C173" s="433"/>
      <c r="D173" s="433"/>
      <c r="E173" s="433"/>
      <c r="F173" s="433"/>
      <c r="G173" s="433"/>
      <c r="H173" s="433"/>
      <c r="I173" s="433"/>
      <c r="J173" s="433"/>
    </row>
    <row r="174" spans="1:11" ht="15" customHeight="1" x14ac:dyDescent="0.25">
      <c r="A174" s="523" t="s">
        <v>1</v>
      </c>
      <c r="B174" s="525" t="s">
        <v>15</v>
      </c>
      <c r="C174" s="526"/>
      <c r="D174" s="527"/>
      <c r="E174" s="523" t="s">
        <v>61</v>
      </c>
      <c r="F174" s="523" t="s">
        <v>62</v>
      </c>
      <c r="G174" s="402" t="s">
        <v>63</v>
      </c>
      <c r="H174" s="402"/>
      <c r="I174" s="402"/>
      <c r="J174" s="402"/>
    </row>
    <row r="175" spans="1:11" ht="24" customHeight="1" x14ac:dyDescent="0.25">
      <c r="A175" s="524"/>
      <c r="B175" s="528"/>
      <c r="C175" s="529"/>
      <c r="D175" s="530"/>
      <c r="E175" s="524"/>
      <c r="F175" s="524"/>
      <c r="G175" s="341" t="s">
        <v>308</v>
      </c>
      <c r="H175" s="341" t="s">
        <v>305</v>
      </c>
      <c r="I175" s="351" t="s">
        <v>306</v>
      </c>
      <c r="J175" s="341" t="s">
        <v>307</v>
      </c>
    </row>
    <row r="176" spans="1:11" ht="11.25" customHeight="1" x14ac:dyDescent="0.25">
      <c r="A176" s="341">
        <v>1</v>
      </c>
      <c r="B176" s="402">
        <v>2</v>
      </c>
      <c r="C176" s="402"/>
      <c r="D176" s="402"/>
      <c r="E176" s="341">
        <v>3</v>
      </c>
      <c r="F176" s="341">
        <v>4</v>
      </c>
      <c r="G176" s="490">
        <v>5</v>
      </c>
      <c r="H176" s="491"/>
      <c r="I176" s="491"/>
      <c r="J176" s="492"/>
    </row>
    <row r="177" spans="1:12" s="316" customFormat="1" ht="28.5" customHeight="1" x14ac:dyDescent="0.25">
      <c r="A177" s="347">
        <v>1</v>
      </c>
      <c r="B177" s="534" t="s">
        <v>550</v>
      </c>
      <c r="C177" s="534"/>
      <c r="D177" s="534"/>
      <c r="E177" s="218">
        <v>2</v>
      </c>
      <c r="F177" s="218">
        <v>1</v>
      </c>
      <c r="G177" s="347" t="s">
        <v>124</v>
      </c>
      <c r="H177" s="347">
        <v>2</v>
      </c>
      <c r="I177" s="313">
        <v>28400</v>
      </c>
      <c r="J177" s="383">
        <f>ROUND(H177*I177,0)-2053.54+106.54-200+800</f>
        <v>55453</v>
      </c>
      <c r="K177" s="315"/>
    </row>
    <row r="178" spans="1:12" s="318" customFormat="1" ht="28.5" customHeight="1" x14ac:dyDescent="0.25">
      <c r="A178" s="347">
        <v>2</v>
      </c>
      <c r="B178" s="538" t="s">
        <v>551</v>
      </c>
      <c r="C178" s="538"/>
      <c r="D178" s="538"/>
      <c r="E178" s="218">
        <v>2</v>
      </c>
      <c r="F178" s="218">
        <v>1</v>
      </c>
      <c r="G178" s="347" t="s">
        <v>124</v>
      </c>
      <c r="H178" s="347">
        <v>2</v>
      </c>
      <c r="I178" s="313">
        <v>12000</v>
      </c>
      <c r="J178" s="383">
        <f>ROUND(H178*I178,0)+2189</f>
        <v>26189</v>
      </c>
      <c r="K178" s="317"/>
    </row>
    <row r="179" spans="1:12" s="326" customFormat="1" ht="44.25" customHeight="1" x14ac:dyDescent="0.25">
      <c r="A179" s="322">
        <v>3</v>
      </c>
      <c r="B179" s="533" t="s">
        <v>114</v>
      </c>
      <c r="C179" s="533"/>
      <c r="D179" s="533"/>
      <c r="E179" s="322">
        <v>3</v>
      </c>
      <c r="F179" s="322">
        <v>1</v>
      </c>
      <c r="G179" s="322" t="s">
        <v>124</v>
      </c>
      <c r="H179" s="322">
        <v>3</v>
      </c>
      <c r="I179" s="323">
        <v>14974.45</v>
      </c>
      <c r="J179" s="324">
        <f>ROUND(H179*I179,0)</f>
        <v>44923</v>
      </c>
      <c r="K179" s="325"/>
    </row>
    <row r="180" spans="1:12" s="326" customFormat="1" ht="45" customHeight="1" x14ac:dyDescent="0.25">
      <c r="A180" s="322">
        <v>4</v>
      </c>
      <c r="B180" s="533" t="s">
        <v>109</v>
      </c>
      <c r="C180" s="533"/>
      <c r="D180" s="533"/>
      <c r="E180" s="322">
        <v>1</v>
      </c>
      <c r="F180" s="322">
        <v>1</v>
      </c>
      <c r="G180" s="322" t="s">
        <v>124</v>
      </c>
      <c r="H180" s="322">
        <v>2</v>
      </c>
      <c r="I180" s="323">
        <v>750</v>
      </c>
      <c r="J180" s="324">
        <f>ROUND(H180*I180,0)</f>
        <v>1500</v>
      </c>
      <c r="K180" s="325"/>
      <c r="L180" s="327"/>
    </row>
    <row r="181" spans="1:12" s="326" customFormat="1" ht="45" customHeight="1" x14ac:dyDescent="0.25">
      <c r="A181" s="322">
        <v>5</v>
      </c>
      <c r="B181" s="533" t="s">
        <v>552</v>
      </c>
      <c r="C181" s="533"/>
      <c r="D181" s="533"/>
      <c r="E181" s="322">
        <v>1</v>
      </c>
      <c r="F181" s="322">
        <v>1</v>
      </c>
      <c r="G181" s="322" t="s">
        <v>124</v>
      </c>
      <c r="H181" s="322">
        <v>2</v>
      </c>
      <c r="I181" s="323">
        <v>750</v>
      </c>
      <c r="J181" s="324">
        <f>ROUND(H181*I181,0)</f>
        <v>1500</v>
      </c>
      <c r="K181" s="325"/>
    </row>
    <row r="182" spans="1:12" s="326" customFormat="1" ht="43.5" customHeight="1" x14ac:dyDescent="0.25">
      <c r="A182" s="322">
        <v>6</v>
      </c>
      <c r="B182" s="533" t="s">
        <v>553</v>
      </c>
      <c r="C182" s="533"/>
      <c r="D182" s="533"/>
      <c r="E182" s="322">
        <v>2</v>
      </c>
      <c r="F182" s="322">
        <v>1</v>
      </c>
      <c r="G182" s="322" t="s">
        <v>554</v>
      </c>
      <c r="H182" s="322">
        <v>1</v>
      </c>
      <c r="I182" s="323">
        <v>10000</v>
      </c>
      <c r="J182" s="324">
        <f t="shared" ref="J182:J183" si="10">ROUND(H182*I182,0)</f>
        <v>10000</v>
      </c>
      <c r="K182" s="325"/>
    </row>
    <row r="183" spans="1:12" s="329" customFormat="1" ht="32.25" customHeight="1" x14ac:dyDescent="0.25">
      <c r="A183" s="322">
        <v>7</v>
      </c>
      <c r="B183" s="533" t="s">
        <v>555</v>
      </c>
      <c r="C183" s="533"/>
      <c r="D183" s="533"/>
      <c r="E183" s="322">
        <v>1</v>
      </c>
      <c r="F183" s="322">
        <v>1</v>
      </c>
      <c r="G183" s="322" t="s">
        <v>556</v>
      </c>
      <c r="H183" s="322">
        <v>4</v>
      </c>
      <c r="I183" s="323">
        <v>6000</v>
      </c>
      <c r="J183" s="324">
        <f t="shared" si="10"/>
        <v>24000</v>
      </c>
      <c r="K183" s="328"/>
    </row>
    <row r="184" spans="1:12" s="326" customFormat="1" ht="29.25" customHeight="1" x14ac:dyDescent="0.25">
      <c r="A184" s="322">
        <v>8</v>
      </c>
      <c r="B184" s="533" t="s">
        <v>557</v>
      </c>
      <c r="C184" s="533"/>
      <c r="D184" s="533"/>
      <c r="E184" s="322">
        <v>1</v>
      </c>
      <c r="F184" s="322">
        <v>1</v>
      </c>
      <c r="G184" s="330" t="s">
        <v>124</v>
      </c>
      <c r="H184" s="322">
        <v>2</v>
      </c>
      <c r="I184" s="323">
        <v>7200</v>
      </c>
      <c r="J184" s="324">
        <f>ROUND(H184*I184,0)</f>
        <v>14400</v>
      </c>
      <c r="K184" s="325"/>
    </row>
    <row r="185" spans="1:12" s="326" customFormat="1" ht="29.25" customHeight="1" x14ac:dyDescent="0.25">
      <c r="A185" s="322">
        <v>9</v>
      </c>
      <c r="B185" s="533" t="s">
        <v>558</v>
      </c>
      <c r="C185" s="533"/>
      <c r="D185" s="533"/>
      <c r="E185" s="322">
        <v>1</v>
      </c>
      <c r="F185" s="322">
        <v>1</v>
      </c>
      <c r="G185" s="330" t="s">
        <v>124</v>
      </c>
      <c r="H185" s="322">
        <v>2</v>
      </c>
      <c r="I185" s="323">
        <v>1017.58</v>
      </c>
      <c r="J185" s="324">
        <f>ROUND(H185*I185,0)</f>
        <v>2035</v>
      </c>
      <c r="K185" s="325"/>
      <c r="L185" s="327"/>
    </row>
    <row r="186" spans="1:12" s="316" customFormat="1" ht="29.25" customHeight="1" x14ac:dyDescent="0.25">
      <c r="A186" s="347">
        <v>10</v>
      </c>
      <c r="B186" s="534" t="s">
        <v>559</v>
      </c>
      <c r="C186" s="534"/>
      <c r="D186" s="534"/>
      <c r="E186" s="347">
        <v>1</v>
      </c>
      <c r="F186" s="347">
        <v>1</v>
      </c>
      <c r="G186" s="321" t="s">
        <v>124</v>
      </c>
      <c r="H186" s="347">
        <v>2</v>
      </c>
      <c r="I186" s="313">
        <v>9900</v>
      </c>
      <c r="J186" s="383">
        <f>ROUND(H186*I186,0)+200</f>
        <v>20000</v>
      </c>
      <c r="K186" s="315"/>
    </row>
    <row r="187" spans="1:12" s="320" customFormat="1" x14ac:dyDescent="0.25">
      <c r="A187" s="347"/>
      <c r="B187" s="535" t="s">
        <v>13</v>
      </c>
      <c r="C187" s="535"/>
      <c r="D187" s="535"/>
      <c r="E187" s="347" t="s">
        <v>14</v>
      </c>
      <c r="F187" s="347"/>
      <c r="G187" s="536">
        <f>SUM(J177:J186)</f>
        <v>200000</v>
      </c>
      <c r="H187" s="537"/>
      <c r="I187" s="537"/>
      <c r="J187" s="537"/>
      <c r="K187" s="319"/>
    </row>
    <row r="188" spans="1:12" ht="17.25" customHeight="1" x14ac:dyDescent="0.25">
      <c r="A188" s="433" t="s">
        <v>290</v>
      </c>
      <c r="B188" s="433"/>
      <c r="C188" s="433"/>
      <c r="D188" s="433"/>
      <c r="E188" s="433"/>
      <c r="F188" s="433"/>
      <c r="G188" s="433"/>
      <c r="H188" s="433"/>
      <c r="I188" s="433"/>
      <c r="J188" s="433"/>
    </row>
    <row r="189" spans="1:12" ht="17.25" customHeight="1" x14ac:dyDescent="0.25">
      <c r="A189" s="523" t="s">
        <v>1</v>
      </c>
      <c r="B189" s="525" t="s">
        <v>15</v>
      </c>
      <c r="C189" s="526"/>
      <c r="D189" s="527"/>
      <c r="E189" s="525" t="s">
        <v>64</v>
      </c>
      <c r="F189" s="527"/>
      <c r="G189" s="402" t="s">
        <v>65</v>
      </c>
      <c r="H189" s="402"/>
      <c r="I189" s="402"/>
      <c r="J189" s="402"/>
    </row>
    <row r="190" spans="1:12" ht="27.75" customHeight="1" x14ac:dyDescent="0.25">
      <c r="A190" s="524"/>
      <c r="B190" s="528"/>
      <c r="C190" s="529"/>
      <c r="D190" s="530"/>
      <c r="E190" s="528"/>
      <c r="F190" s="530"/>
      <c r="G190" s="341" t="s">
        <v>308</v>
      </c>
      <c r="H190" s="341" t="s">
        <v>305</v>
      </c>
      <c r="I190" s="341" t="s">
        <v>306</v>
      </c>
      <c r="J190" s="341" t="s">
        <v>307</v>
      </c>
    </row>
    <row r="191" spans="1:12" ht="14.25" customHeight="1" x14ac:dyDescent="0.25">
      <c r="A191" s="341">
        <v>1</v>
      </c>
      <c r="B191" s="402">
        <v>2</v>
      </c>
      <c r="C191" s="402"/>
      <c r="D191" s="402"/>
      <c r="E191" s="490">
        <v>3</v>
      </c>
      <c r="F191" s="492"/>
      <c r="G191" s="402">
        <v>4</v>
      </c>
      <c r="H191" s="402"/>
      <c r="I191" s="402"/>
      <c r="J191" s="402"/>
    </row>
    <row r="192" spans="1:12" s="336" customFormat="1" ht="17.25" customHeight="1" x14ac:dyDescent="0.25">
      <c r="A192" s="218">
        <v>1</v>
      </c>
      <c r="B192" s="538" t="s">
        <v>560</v>
      </c>
      <c r="C192" s="538"/>
      <c r="D192" s="538"/>
      <c r="E192" s="531">
        <v>1</v>
      </c>
      <c r="F192" s="532"/>
      <c r="G192" s="218" t="s">
        <v>561</v>
      </c>
      <c r="H192" s="218">
        <v>3315.2</v>
      </c>
      <c r="I192" s="333">
        <v>130.15</v>
      </c>
      <c r="J192" s="334">
        <f>H192*I192</f>
        <v>431473.27999999997</v>
      </c>
      <c r="K192" s="335"/>
    </row>
    <row r="193" spans="1:12" s="337" customFormat="1" ht="31.5" customHeight="1" x14ac:dyDescent="0.25">
      <c r="A193" s="218">
        <v>2</v>
      </c>
      <c r="B193" s="538" t="s">
        <v>562</v>
      </c>
      <c r="C193" s="538"/>
      <c r="D193" s="538"/>
      <c r="E193" s="531">
        <v>1</v>
      </c>
      <c r="F193" s="532"/>
      <c r="G193" s="218" t="s">
        <v>124</v>
      </c>
      <c r="H193" s="218">
        <v>2</v>
      </c>
      <c r="I193" s="333">
        <v>6708.23</v>
      </c>
      <c r="J193" s="334">
        <f>H193*I193</f>
        <v>13416.46</v>
      </c>
      <c r="L193" s="338"/>
    </row>
    <row r="194" spans="1:12" s="337" customFormat="1" ht="28.5" customHeight="1" x14ac:dyDescent="0.25">
      <c r="A194" s="218">
        <v>3</v>
      </c>
      <c r="B194" s="538" t="s">
        <v>563</v>
      </c>
      <c r="C194" s="538"/>
      <c r="D194" s="538"/>
      <c r="E194" s="531">
        <v>1</v>
      </c>
      <c r="F194" s="532"/>
      <c r="G194" s="218" t="s">
        <v>561</v>
      </c>
      <c r="H194" s="218">
        <v>1259.2</v>
      </c>
      <c r="I194" s="333">
        <v>20</v>
      </c>
      <c r="J194" s="334">
        <f>H194*I194</f>
        <v>25184</v>
      </c>
    </row>
    <row r="195" spans="1:12" s="337" customFormat="1" ht="29.25" customHeight="1" x14ac:dyDescent="0.25">
      <c r="A195" s="218">
        <v>4</v>
      </c>
      <c r="B195" s="538" t="s">
        <v>564</v>
      </c>
      <c r="C195" s="538"/>
      <c r="D195" s="538"/>
      <c r="E195" s="531">
        <v>1</v>
      </c>
      <c r="F195" s="532"/>
      <c r="G195" s="218" t="s">
        <v>561</v>
      </c>
      <c r="H195" s="218">
        <v>496</v>
      </c>
      <c r="I195" s="333">
        <v>10</v>
      </c>
      <c r="J195" s="334">
        <f t="shared" ref="J195" si="11">H195*I195</f>
        <v>4960</v>
      </c>
    </row>
    <row r="196" spans="1:12" s="336" customFormat="1" ht="42.75" customHeight="1" x14ac:dyDescent="0.25">
      <c r="A196" s="218">
        <v>5</v>
      </c>
      <c r="B196" s="538" t="s">
        <v>565</v>
      </c>
      <c r="C196" s="538"/>
      <c r="D196" s="538"/>
      <c r="E196" s="531">
        <v>1</v>
      </c>
      <c r="F196" s="532"/>
      <c r="G196" s="218" t="s">
        <v>124</v>
      </c>
      <c r="H196" s="218">
        <v>2</v>
      </c>
      <c r="I196" s="333">
        <v>11366.67</v>
      </c>
      <c r="J196" s="334">
        <f>H196*I196</f>
        <v>22733.34</v>
      </c>
    </row>
    <row r="197" spans="1:12" s="336" customFormat="1" ht="42.75" customHeight="1" x14ac:dyDescent="0.25">
      <c r="A197" s="218">
        <v>6</v>
      </c>
      <c r="B197" s="538" t="s">
        <v>566</v>
      </c>
      <c r="C197" s="538"/>
      <c r="D197" s="538"/>
      <c r="E197" s="531">
        <v>1</v>
      </c>
      <c r="F197" s="532"/>
      <c r="G197" s="218" t="s">
        <v>124</v>
      </c>
      <c r="H197" s="218">
        <v>2</v>
      </c>
      <c r="I197" s="333">
        <v>2300</v>
      </c>
      <c r="J197" s="334">
        <f>H197*I197+0.12</f>
        <v>4600.12</v>
      </c>
    </row>
    <row r="198" spans="1:12" s="336" customFormat="1" ht="24" customHeight="1" x14ac:dyDescent="0.25">
      <c r="A198" s="218">
        <v>7</v>
      </c>
      <c r="B198" s="538" t="s">
        <v>137</v>
      </c>
      <c r="C198" s="538"/>
      <c r="D198" s="538"/>
      <c r="E198" s="531">
        <v>1</v>
      </c>
      <c r="F198" s="532"/>
      <c r="G198" s="218" t="s">
        <v>149</v>
      </c>
      <c r="H198" s="218">
        <v>13</v>
      </c>
      <c r="I198" s="333">
        <v>4000</v>
      </c>
      <c r="J198" s="334">
        <f>H198*I198+639.32+393.6-0.12</f>
        <v>53032.799999999996</v>
      </c>
    </row>
    <row r="199" spans="1:12" s="337" customFormat="1" ht="20.25" customHeight="1" x14ac:dyDescent="0.25">
      <c r="A199" s="218">
        <v>8</v>
      </c>
      <c r="B199" s="538" t="s">
        <v>140</v>
      </c>
      <c r="C199" s="538"/>
      <c r="D199" s="538"/>
      <c r="E199" s="531">
        <v>1</v>
      </c>
      <c r="F199" s="532"/>
      <c r="G199" s="218" t="s">
        <v>149</v>
      </c>
      <c r="H199" s="218">
        <v>8</v>
      </c>
      <c r="I199" s="333">
        <v>400</v>
      </c>
      <c r="J199" s="334">
        <f>H199*I199+400</f>
        <v>3600</v>
      </c>
    </row>
    <row r="200" spans="1:12" s="337" customFormat="1" ht="20.25" customHeight="1" x14ac:dyDescent="0.25">
      <c r="A200" s="218">
        <v>9</v>
      </c>
      <c r="B200" s="538" t="s">
        <v>567</v>
      </c>
      <c r="C200" s="538"/>
      <c r="D200" s="538"/>
      <c r="E200" s="531">
        <v>1</v>
      </c>
      <c r="F200" s="532"/>
      <c r="G200" s="218" t="s">
        <v>149</v>
      </c>
      <c r="H200" s="218">
        <v>1</v>
      </c>
      <c r="I200" s="333">
        <v>4000</v>
      </c>
      <c r="J200" s="334">
        <f>I200*H200</f>
        <v>4000</v>
      </c>
    </row>
    <row r="201" spans="1:12" s="336" customFormat="1" ht="32.25" customHeight="1" x14ac:dyDescent="0.25">
      <c r="A201" s="218">
        <v>10</v>
      </c>
      <c r="B201" s="538" t="s">
        <v>568</v>
      </c>
      <c r="C201" s="538"/>
      <c r="D201" s="538"/>
      <c r="E201" s="531">
        <v>1</v>
      </c>
      <c r="F201" s="532"/>
      <c r="G201" s="218" t="s">
        <v>124</v>
      </c>
      <c r="H201" s="218">
        <v>12</v>
      </c>
      <c r="I201" s="333">
        <v>2000</v>
      </c>
      <c r="J201" s="334">
        <f t="shared" ref="J201" si="12">H201*I201</f>
        <v>24000</v>
      </c>
    </row>
    <row r="202" spans="1:12" s="320" customFormat="1" ht="45" customHeight="1" x14ac:dyDescent="0.25">
      <c r="A202" s="347">
        <v>11</v>
      </c>
      <c r="B202" s="534" t="s">
        <v>569</v>
      </c>
      <c r="C202" s="534"/>
      <c r="D202" s="534"/>
      <c r="E202" s="482">
        <v>1</v>
      </c>
      <c r="F202" s="483"/>
      <c r="G202" s="347" t="s">
        <v>309</v>
      </c>
      <c r="H202" s="347">
        <v>1</v>
      </c>
      <c r="I202" s="331">
        <v>6000</v>
      </c>
      <c r="J202" s="383">
        <f>H202*I202</f>
        <v>6000</v>
      </c>
    </row>
    <row r="203" spans="1:12" s="320" customFormat="1" ht="15.75" x14ac:dyDescent="0.25">
      <c r="A203" s="332"/>
      <c r="B203" s="578" t="s">
        <v>13</v>
      </c>
      <c r="C203" s="579"/>
      <c r="D203" s="580"/>
      <c r="E203" s="576" t="s">
        <v>14</v>
      </c>
      <c r="F203" s="577"/>
      <c r="G203" s="573">
        <f>SUM(J192:J202)</f>
        <v>593000</v>
      </c>
      <c r="H203" s="574"/>
      <c r="I203" s="574"/>
      <c r="J203" s="575"/>
    </row>
    <row r="204" spans="1:12" ht="30" customHeight="1" x14ac:dyDescent="0.25">
      <c r="A204" s="569" t="s">
        <v>390</v>
      </c>
      <c r="B204" s="569"/>
      <c r="C204" s="569"/>
      <c r="D204" s="569"/>
      <c r="E204" s="569"/>
      <c r="F204" s="569"/>
      <c r="G204" s="569"/>
      <c r="H204" s="569"/>
      <c r="I204" s="569"/>
      <c r="J204" s="569"/>
    </row>
    <row r="205" spans="1:12" ht="30" customHeight="1" x14ac:dyDescent="0.25">
      <c r="A205" s="341" t="s">
        <v>1</v>
      </c>
      <c r="B205" s="402" t="s">
        <v>44</v>
      </c>
      <c r="C205" s="402"/>
      <c r="D205" s="402"/>
      <c r="E205" s="402" t="s">
        <v>58</v>
      </c>
      <c r="F205" s="402"/>
      <c r="G205" s="402" t="s">
        <v>59</v>
      </c>
      <c r="H205" s="402"/>
      <c r="I205" s="402" t="s">
        <v>60</v>
      </c>
      <c r="J205" s="402"/>
    </row>
    <row r="206" spans="1:12" ht="30" customHeight="1" x14ac:dyDescent="0.25">
      <c r="A206" s="341">
        <v>1</v>
      </c>
      <c r="B206" s="402">
        <v>2</v>
      </c>
      <c r="C206" s="402"/>
      <c r="D206" s="402"/>
      <c r="E206" s="402">
        <v>3</v>
      </c>
      <c r="F206" s="402"/>
      <c r="G206" s="402">
        <v>4</v>
      </c>
      <c r="H206" s="402"/>
      <c r="I206" s="402">
        <v>5</v>
      </c>
      <c r="J206" s="402"/>
    </row>
    <row r="207" spans="1:12" ht="30" customHeight="1" x14ac:dyDescent="0.25">
      <c r="A207" s="343" t="s">
        <v>27</v>
      </c>
      <c r="B207" s="496"/>
      <c r="C207" s="504"/>
      <c r="D207" s="497"/>
      <c r="E207" s="515"/>
      <c r="F207" s="515"/>
      <c r="G207" s="515"/>
      <c r="H207" s="515"/>
      <c r="I207" s="515"/>
      <c r="J207" s="515"/>
    </row>
    <row r="208" spans="1:12" ht="30" customHeight="1" x14ac:dyDescent="0.25">
      <c r="A208" s="344"/>
      <c r="B208" s="507" t="s">
        <v>13</v>
      </c>
      <c r="C208" s="507"/>
      <c r="D208" s="507"/>
      <c r="E208" s="508" t="s">
        <v>14</v>
      </c>
      <c r="F208" s="508"/>
      <c r="G208" s="508" t="s">
        <v>14</v>
      </c>
      <c r="H208" s="508"/>
      <c r="I208" s="508">
        <f>I207</f>
        <v>0</v>
      </c>
      <c r="J208" s="508"/>
    </row>
    <row r="209" spans="1:11" ht="15.75" customHeight="1" x14ac:dyDescent="0.25">
      <c r="A209" s="434" t="s">
        <v>391</v>
      </c>
      <c r="B209" s="434"/>
      <c r="C209" s="434"/>
      <c r="D209" s="434"/>
      <c r="E209" s="434"/>
      <c r="F209" s="434"/>
      <c r="G209" s="434"/>
      <c r="H209" s="434"/>
      <c r="I209" s="434"/>
      <c r="J209" s="434"/>
    </row>
    <row r="210" spans="1:11" ht="17.25" customHeight="1" x14ac:dyDescent="0.25">
      <c r="A210" s="341" t="s">
        <v>1</v>
      </c>
      <c r="B210" s="490" t="s">
        <v>15</v>
      </c>
      <c r="C210" s="491"/>
      <c r="D210" s="492"/>
      <c r="E210" s="490" t="s">
        <v>58</v>
      </c>
      <c r="F210" s="492"/>
      <c r="G210" s="490" t="s">
        <v>66</v>
      </c>
      <c r="H210" s="492"/>
      <c r="I210" s="490" t="s">
        <v>264</v>
      </c>
      <c r="J210" s="492"/>
    </row>
    <row r="211" spans="1:11" ht="16.5" customHeight="1" x14ac:dyDescent="0.25">
      <c r="A211" s="341">
        <v>1</v>
      </c>
      <c r="B211" s="490">
        <v>2</v>
      </c>
      <c r="C211" s="491"/>
      <c r="D211" s="492"/>
      <c r="E211" s="490">
        <v>3</v>
      </c>
      <c r="F211" s="492"/>
      <c r="G211" s="490">
        <v>4</v>
      </c>
      <c r="H211" s="492"/>
      <c r="I211" s="490">
        <v>5</v>
      </c>
      <c r="J211" s="492"/>
    </row>
    <row r="212" spans="1:11" ht="30" hidden="1" customHeight="1" x14ac:dyDescent="0.25">
      <c r="A212" s="350" t="s">
        <v>70</v>
      </c>
      <c r="B212" s="498" t="s">
        <v>170</v>
      </c>
      <c r="C212" s="499"/>
      <c r="D212" s="500"/>
      <c r="E212" s="107"/>
      <c r="F212" s="107"/>
      <c r="G212" s="475"/>
      <c r="H212" s="476"/>
      <c r="I212" s="565">
        <f>I213</f>
        <v>0</v>
      </c>
      <c r="J212" s="564"/>
    </row>
    <row r="213" spans="1:11" ht="17.25" hidden="1" customHeight="1" x14ac:dyDescent="0.25">
      <c r="A213" s="343" t="s">
        <v>27</v>
      </c>
      <c r="B213" s="541" t="s">
        <v>334</v>
      </c>
      <c r="C213" s="542"/>
      <c r="D213" s="543"/>
      <c r="E213" s="108" t="s">
        <v>310</v>
      </c>
      <c r="F213" s="108">
        <v>4</v>
      </c>
      <c r="G213" s="517" t="s">
        <v>260</v>
      </c>
      <c r="H213" s="518"/>
      <c r="I213" s="544"/>
      <c r="J213" s="545"/>
    </row>
    <row r="214" spans="1:11" s="41" customFormat="1" ht="30" hidden="1" customHeight="1" x14ac:dyDescent="0.25">
      <c r="A214" s="343" t="s">
        <v>27</v>
      </c>
      <c r="B214" s="546" t="s">
        <v>335</v>
      </c>
      <c r="C214" s="547"/>
      <c r="D214" s="548"/>
      <c r="E214" s="108" t="s">
        <v>331</v>
      </c>
      <c r="F214" s="346">
        <v>21</v>
      </c>
      <c r="G214" s="517" t="s">
        <v>74</v>
      </c>
      <c r="H214" s="518"/>
      <c r="I214" s="544"/>
      <c r="J214" s="545"/>
    </row>
    <row r="215" spans="1:11" s="41" customFormat="1" ht="30" customHeight="1" x14ac:dyDescent="0.25">
      <c r="A215" s="343" t="s">
        <v>27</v>
      </c>
      <c r="B215" s="551"/>
      <c r="C215" s="551"/>
      <c r="D215" s="551"/>
      <c r="E215" s="206"/>
      <c r="F215" s="207"/>
      <c r="G215" s="552"/>
      <c r="H215" s="552"/>
      <c r="I215" s="591"/>
      <c r="J215" s="592"/>
    </row>
    <row r="216" spans="1:11" ht="30" hidden="1" customHeight="1" x14ac:dyDescent="0.25">
      <c r="A216" s="343" t="s">
        <v>38</v>
      </c>
      <c r="B216" s="551" t="s">
        <v>183</v>
      </c>
      <c r="C216" s="551"/>
      <c r="D216" s="551"/>
      <c r="E216" s="108" t="s">
        <v>311</v>
      </c>
      <c r="F216" s="346">
        <v>1007</v>
      </c>
      <c r="G216" s="552" t="s">
        <v>260</v>
      </c>
      <c r="H216" s="552"/>
      <c r="I216" s="549"/>
      <c r="J216" s="550"/>
    </row>
    <row r="217" spans="1:11" s="41" customFormat="1" ht="30" hidden="1" customHeight="1" x14ac:dyDescent="0.25">
      <c r="A217" s="109" t="s">
        <v>40</v>
      </c>
      <c r="B217" s="551" t="s">
        <v>184</v>
      </c>
      <c r="C217" s="551"/>
      <c r="D217" s="551"/>
      <c r="E217" s="108" t="s">
        <v>311</v>
      </c>
      <c r="F217" s="346">
        <v>1007</v>
      </c>
      <c r="G217" s="552" t="s">
        <v>260</v>
      </c>
      <c r="H217" s="552"/>
      <c r="I217" s="549"/>
      <c r="J217" s="550"/>
    </row>
    <row r="218" spans="1:11" ht="30" hidden="1" customHeight="1" x14ac:dyDescent="0.25">
      <c r="A218" s="343" t="s">
        <v>42</v>
      </c>
      <c r="B218" s="551" t="s">
        <v>185</v>
      </c>
      <c r="C218" s="551"/>
      <c r="D218" s="551"/>
      <c r="E218" s="108" t="s">
        <v>311</v>
      </c>
      <c r="F218" s="346">
        <v>1007</v>
      </c>
      <c r="G218" s="552" t="s">
        <v>260</v>
      </c>
      <c r="H218" s="552"/>
      <c r="I218" s="549"/>
      <c r="J218" s="550"/>
      <c r="K218" s="15"/>
    </row>
    <row r="219" spans="1:11" ht="30" hidden="1" customHeight="1" x14ac:dyDescent="0.25">
      <c r="A219" s="343" t="s">
        <v>180</v>
      </c>
      <c r="B219" s="551" t="s">
        <v>186</v>
      </c>
      <c r="C219" s="551"/>
      <c r="D219" s="551"/>
      <c r="E219" s="108" t="s">
        <v>311</v>
      </c>
      <c r="F219" s="346">
        <v>1007</v>
      </c>
      <c r="G219" s="552" t="s">
        <v>260</v>
      </c>
      <c r="H219" s="552"/>
      <c r="I219" s="549"/>
      <c r="J219" s="550"/>
      <c r="K219" s="14"/>
    </row>
    <row r="220" spans="1:11" ht="30" hidden="1" customHeight="1" x14ac:dyDescent="0.25">
      <c r="A220" s="109" t="s">
        <v>181</v>
      </c>
      <c r="B220" s="551" t="s">
        <v>192</v>
      </c>
      <c r="C220" s="551"/>
      <c r="D220" s="551"/>
      <c r="E220" s="108" t="s">
        <v>311</v>
      </c>
      <c r="F220" s="346">
        <v>1007</v>
      </c>
      <c r="G220" s="552" t="s">
        <v>260</v>
      </c>
      <c r="H220" s="552"/>
      <c r="I220" s="549"/>
      <c r="J220" s="550"/>
    </row>
    <row r="221" spans="1:11" ht="17.25" customHeight="1" x14ac:dyDescent="0.25">
      <c r="A221" s="343"/>
      <c r="B221" s="507" t="s">
        <v>13</v>
      </c>
      <c r="C221" s="507"/>
      <c r="D221" s="507"/>
      <c r="E221" s="553" t="s">
        <v>74</v>
      </c>
      <c r="F221" s="554"/>
      <c r="G221" s="508" t="s">
        <v>14</v>
      </c>
      <c r="H221" s="508"/>
      <c r="I221" s="509"/>
      <c r="J221" s="508"/>
    </row>
    <row r="222" spans="1:11" ht="21.75" customHeight="1" x14ac:dyDescent="0.25">
      <c r="A222" s="540" t="s">
        <v>392</v>
      </c>
      <c r="B222" s="540"/>
      <c r="C222" s="540"/>
      <c r="D222" s="540"/>
      <c r="E222" s="540"/>
      <c r="F222" s="540"/>
      <c r="G222" s="540"/>
      <c r="H222" s="540"/>
      <c r="I222" s="540"/>
      <c r="J222" s="540"/>
    </row>
    <row r="223" spans="1:11" ht="15.75" x14ac:dyDescent="0.25">
      <c r="A223" s="593"/>
      <c r="B223" s="593"/>
      <c r="C223" s="593"/>
      <c r="D223" s="593"/>
      <c r="E223" s="593"/>
      <c r="F223" s="593"/>
      <c r="G223" s="593"/>
      <c r="H223" s="593"/>
      <c r="I223" s="593"/>
      <c r="J223" s="593"/>
    </row>
    <row r="224" spans="1:11" ht="15" customHeight="1" x14ac:dyDescent="0.25">
      <c r="A224" s="341" t="s">
        <v>1</v>
      </c>
      <c r="B224" s="402" t="s">
        <v>15</v>
      </c>
      <c r="C224" s="402"/>
      <c r="D224" s="402"/>
      <c r="E224" s="402" t="s">
        <v>58</v>
      </c>
      <c r="F224" s="402"/>
      <c r="G224" s="402" t="s">
        <v>66</v>
      </c>
      <c r="H224" s="402"/>
      <c r="I224" s="402" t="s">
        <v>264</v>
      </c>
      <c r="J224" s="402"/>
    </row>
    <row r="225" spans="1:10" x14ac:dyDescent="0.25">
      <c r="A225" s="341">
        <v>1</v>
      </c>
      <c r="B225" s="402">
        <v>2</v>
      </c>
      <c r="C225" s="402"/>
      <c r="D225" s="402"/>
      <c r="E225" s="402">
        <v>3</v>
      </c>
      <c r="F225" s="402"/>
      <c r="G225" s="402">
        <v>4</v>
      </c>
      <c r="H225" s="402"/>
      <c r="I225" s="402">
        <v>5</v>
      </c>
      <c r="J225" s="402"/>
    </row>
    <row r="226" spans="1:10" s="46" customFormat="1" ht="15" customHeight="1" x14ac:dyDescent="0.25">
      <c r="A226" s="562" t="s">
        <v>365</v>
      </c>
      <c r="B226" s="562"/>
      <c r="C226" s="562"/>
      <c r="D226" s="562"/>
      <c r="E226" s="562"/>
      <c r="F226" s="562"/>
      <c r="G226" s="562"/>
      <c r="H226" s="562"/>
      <c r="I226" s="562"/>
      <c r="J226" s="562"/>
    </row>
    <row r="227" spans="1:10" s="45" customFormat="1" ht="33" customHeight="1" x14ac:dyDescent="0.25">
      <c r="A227" s="350">
        <v>1</v>
      </c>
      <c r="B227" s="498"/>
      <c r="C227" s="499"/>
      <c r="D227" s="500"/>
      <c r="E227" s="107"/>
      <c r="F227" s="107"/>
      <c r="G227" s="475"/>
      <c r="H227" s="476"/>
      <c r="I227" s="563">
        <f>SUM(I228:J229)</f>
        <v>20000</v>
      </c>
      <c r="J227" s="564"/>
    </row>
    <row r="228" spans="1:10" s="46" customFormat="1" ht="15" customHeight="1" x14ac:dyDescent="0.25">
      <c r="A228" s="343" t="s">
        <v>27</v>
      </c>
      <c r="B228" s="555" t="s">
        <v>573</v>
      </c>
      <c r="C228" s="555"/>
      <c r="D228" s="555"/>
      <c r="E228" s="236"/>
      <c r="F228" s="237"/>
      <c r="G228" s="556"/>
      <c r="H228" s="556"/>
      <c r="I228" s="557">
        <v>10000</v>
      </c>
      <c r="J228" s="558"/>
    </row>
    <row r="229" spans="1:10" s="45" customFormat="1" x14ac:dyDescent="0.25">
      <c r="A229" s="343" t="s">
        <v>29</v>
      </c>
      <c r="B229" s="555" t="s">
        <v>574</v>
      </c>
      <c r="C229" s="555"/>
      <c r="D229" s="555"/>
      <c r="E229" s="236"/>
      <c r="F229" s="237"/>
      <c r="G229" s="556"/>
      <c r="H229" s="556"/>
      <c r="I229" s="557">
        <v>10000</v>
      </c>
      <c r="J229" s="558"/>
    </row>
    <row r="230" spans="1:10" s="45" customFormat="1" x14ac:dyDescent="0.25">
      <c r="A230" s="109"/>
      <c r="B230" s="507"/>
      <c r="C230" s="507"/>
      <c r="D230" s="507"/>
      <c r="E230" s="108"/>
      <c r="F230" s="346"/>
      <c r="G230" s="552"/>
      <c r="H230" s="552"/>
      <c r="I230" s="559"/>
      <c r="J230" s="454"/>
    </row>
    <row r="231" spans="1:10" s="45" customFormat="1" ht="15.75" customHeight="1" x14ac:dyDescent="0.25">
      <c r="A231" s="539" t="s">
        <v>393</v>
      </c>
      <c r="B231" s="539"/>
      <c r="C231" s="539"/>
      <c r="D231" s="539"/>
      <c r="E231" s="539"/>
      <c r="F231" s="539"/>
      <c r="G231" s="539"/>
      <c r="H231" s="539"/>
      <c r="I231" s="539"/>
      <c r="J231" s="539"/>
    </row>
    <row r="232" spans="1:10" x14ac:dyDescent="0.25">
      <c r="A232" s="523" t="s">
        <v>1</v>
      </c>
      <c r="B232" s="525" t="s">
        <v>15</v>
      </c>
      <c r="C232" s="526"/>
      <c r="D232" s="527"/>
      <c r="E232" s="525" t="s">
        <v>64</v>
      </c>
      <c r="F232" s="527"/>
      <c r="G232" s="402" t="s">
        <v>65</v>
      </c>
      <c r="H232" s="402"/>
      <c r="I232" s="402"/>
      <c r="J232" s="402"/>
    </row>
    <row r="233" spans="1:10" ht="25.5" x14ac:dyDescent="0.25">
      <c r="A233" s="524"/>
      <c r="B233" s="528"/>
      <c r="C233" s="529"/>
      <c r="D233" s="530"/>
      <c r="E233" s="528"/>
      <c r="F233" s="530"/>
      <c r="G233" s="341" t="s">
        <v>308</v>
      </c>
      <c r="H233" s="341" t="s">
        <v>305</v>
      </c>
      <c r="I233" s="341" t="s">
        <v>306</v>
      </c>
      <c r="J233" s="341" t="s">
        <v>307</v>
      </c>
    </row>
    <row r="234" spans="1:10" x14ac:dyDescent="0.25">
      <c r="A234" s="341">
        <v>1</v>
      </c>
      <c r="B234" s="402">
        <v>2</v>
      </c>
      <c r="C234" s="402"/>
      <c r="D234" s="402"/>
      <c r="E234" s="490">
        <v>3</v>
      </c>
      <c r="F234" s="492"/>
      <c r="G234" s="402">
        <v>4</v>
      </c>
      <c r="H234" s="402"/>
      <c r="I234" s="402"/>
      <c r="J234" s="402"/>
    </row>
    <row r="235" spans="1:10" s="320" customFormat="1" ht="30" customHeight="1" x14ac:dyDescent="0.25">
      <c r="A235" s="347">
        <v>12</v>
      </c>
      <c r="B235" s="534" t="s">
        <v>570</v>
      </c>
      <c r="C235" s="534"/>
      <c r="D235" s="534"/>
      <c r="E235" s="482">
        <v>1</v>
      </c>
      <c r="F235" s="483"/>
      <c r="G235" s="347" t="s">
        <v>309</v>
      </c>
      <c r="H235" s="347">
        <v>1</v>
      </c>
      <c r="I235" s="331">
        <v>12000</v>
      </c>
      <c r="J235" s="383">
        <f t="shared" ref="J235" si="13">H235*I235</f>
        <v>12000</v>
      </c>
    </row>
    <row r="236" spans="1:10" s="320" customFormat="1" ht="31.5" customHeight="1" x14ac:dyDescent="0.25">
      <c r="A236" s="347">
        <v>13</v>
      </c>
      <c r="B236" s="534" t="s">
        <v>571</v>
      </c>
      <c r="C236" s="534"/>
      <c r="D236" s="534"/>
      <c r="E236" s="482">
        <v>1</v>
      </c>
      <c r="F236" s="483"/>
      <c r="G236" s="347" t="s">
        <v>309</v>
      </c>
      <c r="H236" s="347">
        <v>1</v>
      </c>
      <c r="I236" s="331">
        <v>3000</v>
      </c>
      <c r="J236" s="383">
        <f>H236*I236</f>
        <v>3000</v>
      </c>
    </row>
    <row r="237" spans="1:10" s="320" customFormat="1" ht="32.25" customHeight="1" x14ac:dyDescent="0.25">
      <c r="A237" s="347">
        <v>14</v>
      </c>
      <c r="B237" s="534" t="s">
        <v>572</v>
      </c>
      <c r="C237" s="534"/>
      <c r="D237" s="534"/>
      <c r="E237" s="482">
        <v>1</v>
      </c>
      <c r="F237" s="483"/>
      <c r="G237" s="347" t="s">
        <v>309</v>
      </c>
      <c r="H237" s="347">
        <v>1</v>
      </c>
      <c r="I237" s="331">
        <v>2000</v>
      </c>
      <c r="J237" s="383">
        <f t="shared" ref="J237" si="14">H237*I237</f>
        <v>2000</v>
      </c>
    </row>
    <row r="238" spans="1:10" ht="15.75" x14ac:dyDescent="0.25">
      <c r="A238" s="106"/>
      <c r="B238" s="586" t="s">
        <v>13</v>
      </c>
      <c r="C238" s="586"/>
      <c r="D238" s="586"/>
      <c r="E238" s="587" t="s">
        <v>14</v>
      </c>
      <c r="F238" s="588"/>
      <c r="G238" s="589">
        <f>J235+J236+J237</f>
        <v>17000</v>
      </c>
      <c r="H238" s="590"/>
      <c r="I238" s="590"/>
      <c r="J238" s="590"/>
    </row>
    <row r="239" spans="1:10" x14ac:dyDescent="0.25">
      <c r="A239" s="93"/>
      <c r="B239" s="93"/>
      <c r="C239" s="93"/>
      <c r="D239" s="93"/>
      <c r="E239" s="93"/>
      <c r="F239" s="93"/>
      <c r="G239" s="93"/>
      <c r="H239" s="93"/>
      <c r="I239" s="93"/>
      <c r="J239" s="93"/>
    </row>
    <row r="240" spans="1:10" x14ac:dyDescent="0.25">
      <c r="A240" s="93"/>
      <c r="B240" s="93"/>
      <c r="C240" s="93"/>
      <c r="D240" s="93"/>
      <c r="E240" s="93"/>
      <c r="F240" s="93"/>
      <c r="G240" s="93"/>
      <c r="H240" s="110" t="s">
        <v>212</v>
      </c>
      <c r="I240" s="560">
        <f>I242+J243</f>
        <v>37103600.002000004</v>
      </c>
      <c r="J240" s="560"/>
    </row>
    <row r="241" spans="1:11" x14ac:dyDescent="0.25">
      <c r="A241" s="93"/>
      <c r="B241" s="93"/>
      <c r="C241" s="93"/>
      <c r="D241" s="93"/>
      <c r="E241" s="93"/>
      <c r="F241" s="93"/>
      <c r="G241" s="93"/>
      <c r="H241" s="111" t="s">
        <v>248</v>
      </c>
      <c r="I241" s="93"/>
      <c r="J241" s="93"/>
    </row>
    <row r="242" spans="1:11" x14ac:dyDescent="0.25">
      <c r="A242" s="93"/>
      <c r="B242" s="93"/>
      <c r="C242" s="93"/>
      <c r="D242" s="93"/>
      <c r="E242" s="93"/>
      <c r="F242" s="93"/>
      <c r="G242" s="93"/>
      <c r="H242" s="111" t="s">
        <v>82</v>
      </c>
      <c r="I242" s="561">
        <f>I227+G203+G187+I167+I144+I118+I96+I73+I68+J52+I57+G238</f>
        <v>37039400.002000004</v>
      </c>
      <c r="J242" s="561"/>
      <c r="K242" s="148"/>
    </row>
    <row r="243" spans="1:11" x14ac:dyDescent="0.25">
      <c r="A243" s="93"/>
      <c r="B243" s="93"/>
      <c r="C243" s="93"/>
      <c r="D243" s="93"/>
      <c r="E243" s="93"/>
      <c r="F243" s="93"/>
      <c r="G243" s="93"/>
      <c r="H243" s="111" t="s">
        <v>532</v>
      </c>
      <c r="I243" s="93"/>
      <c r="J243" s="126">
        <f>I97+J51</f>
        <v>64200</v>
      </c>
    </row>
    <row r="244" spans="1:11" s="119" customFormat="1" ht="15" customHeight="1" x14ac:dyDescent="0.25">
      <c r="A244" s="406" t="s">
        <v>514</v>
      </c>
      <c r="B244" s="406"/>
      <c r="C244" s="406"/>
      <c r="D244" s="116"/>
      <c r="E244" s="116"/>
      <c r="F244" s="117" t="s">
        <v>690</v>
      </c>
      <c r="G244" s="118"/>
      <c r="H244" s="118"/>
    </row>
    <row r="245" spans="1:11" s="119" customFormat="1" ht="15" customHeight="1" x14ac:dyDescent="0.2">
      <c r="A245" s="120"/>
      <c r="B245" s="120"/>
      <c r="C245" s="120"/>
      <c r="D245" s="407" t="s">
        <v>281</v>
      </c>
      <c r="E245" s="407"/>
      <c r="F245" s="271" t="s">
        <v>282</v>
      </c>
      <c r="G245" s="271"/>
      <c r="H245" s="271"/>
    </row>
    <row r="246" spans="1:11" s="121" customFormat="1" ht="15" customHeight="1" x14ac:dyDescent="0.25">
      <c r="A246" s="406" t="s">
        <v>262</v>
      </c>
      <c r="B246" s="406"/>
      <c r="C246" s="406"/>
      <c r="D246" s="116"/>
      <c r="E246" s="116"/>
      <c r="F246" s="117" t="s">
        <v>509</v>
      </c>
      <c r="G246" s="117"/>
      <c r="H246" s="117"/>
    </row>
    <row r="247" spans="1:11" s="119" customFormat="1" ht="15" customHeight="1" x14ac:dyDescent="0.2">
      <c r="A247" s="120"/>
      <c r="B247" s="120"/>
      <c r="C247" s="120"/>
      <c r="D247" s="407" t="s">
        <v>281</v>
      </c>
      <c r="E247" s="407"/>
      <c r="F247" s="271" t="s">
        <v>282</v>
      </c>
      <c r="G247" s="271"/>
      <c r="H247" s="271"/>
    </row>
    <row r="248" spans="1:11" s="121" customFormat="1" ht="15" customHeight="1" x14ac:dyDescent="0.25">
      <c r="A248" s="406" t="s">
        <v>374</v>
      </c>
      <c r="B248" s="406"/>
      <c r="C248" s="406"/>
      <c r="D248" s="116"/>
      <c r="E248" s="116"/>
      <c r="F248" s="117" t="s">
        <v>510</v>
      </c>
      <c r="G248" s="117"/>
      <c r="H248" s="117"/>
    </row>
    <row r="249" spans="1:11" s="119" customFormat="1" ht="12.75" x14ac:dyDescent="0.2">
      <c r="A249" s="342"/>
      <c r="B249" s="342"/>
      <c r="C249" s="342"/>
      <c r="D249" s="407" t="s">
        <v>281</v>
      </c>
      <c r="E249" s="407"/>
      <c r="F249" s="271" t="s">
        <v>282</v>
      </c>
      <c r="G249" s="271"/>
      <c r="H249" s="271"/>
    </row>
    <row r="250" spans="1:11" x14ac:dyDescent="0.25">
      <c r="A250" s="340"/>
      <c r="B250" s="340"/>
      <c r="C250" s="340"/>
      <c r="D250" s="340"/>
      <c r="E250" s="340"/>
      <c r="F250" s="340"/>
      <c r="G250" s="45"/>
      <c r="H250" s="45"/>
      <c r="I250" s="45"/>
      <c r="J250" s="45"/>
    </row>
    <row r="251" spans="1:11" x14ac:dyDescent="0.25">
      <c r="A251" s="47" t="s">
        <v>283</v>
      </c>
      <c r="B251" s="223" t="s">
        <v>578</v>
      </c>
      <c r="C251" s="340"/>
      <c r="D251" s="340"/>
      <c r="E251" s="340"/>
      <c r="F251" s="340"/>
      <c r="G251" s="45"/>
      <c r="H251" s="45"/>
      <c r="I251" s="45"/>
      <c r="J251" s="45"/>
    </row>
    <row r="252" spans="1:11" x14ac:dyDescent="0.25">
      <c r="A252" s="340"/>
      <c r="B252" s="340"/>
      <c r="C252" s="340"/>
      <c r="D252" s="340"/>
      <c r="E252" s="340"/>
      <c r="F252" s="340"/>
      <c r="G252" s="45"/>
      <c r="H252" s="45"/>
      <c r="I252" s="45"/>
      <c r="J252" s="45"/>
    </row>
    <row r="253" spans="1:11" x14ac:dyDescent="0.25">
      <c r="A253" s="392"/>
      <c r="B253" s="392"/>
      <c r="C253" s="340"/>
      <c r="D253" s="340"/>
      <c r="E253" s="340"/>
      <c r="F253" s="340"/>
      <c r="G253" s="45"/>
      <c r="H253" s="45"/>
      <c r="I253" s="45"/>
      <c r="J253" s="45"/>
    </row>
  </sheetData>
  <mergeCells count="506"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19:J19"/>
    <mergeCell ref="A35:J35"/>
    <mergeCell ref="A39:J39"/>
    <mergeCell ref="A48:I48"/>
    <mergeCell ref="A49:I49"/>
    <mergeCell ref="A50:I50"/>
    <mergeCell ref="I9:I11"/>
    <mergeCell ref="J9:J11"/>
    <mergeCell ref="D10:D11"/>
    <mergeCell ref="E10:G10"/>
    <mergeCell ref="A13:J13"/>
    <mergeCell ref="A14:J14"/>
    <mergeCell ref="B56:D56"/>
    <mergeCell ref="E56:F56"/>
    <mergeCell ref="G56:H56"/>
    <mergeCell ref="I56:J56"/>
    <mergeCell ref="B57:D57"/>
    <mergeCell ref="E57:F57"/>
    <mergeCell ref="G57:H57"/>
    <mergeCell ref="I57:J57"/>
    <mergeCell ref="A51:I51"/>
    <mergeCell ref="A52:B52"/>
    <mergeCell ref="A53:B53"/>
    <mergeCell ref="A54:J54"/>
    <mergeCell ref="B55:D55"/>
    <mergeCell ref="E55:F55"/>
    <mergeCell ref="G55:H55"/>
    <mergeCell ref="I55:J55"/>
    <mergeCell ref="A62:J62"/>
    <mergeCell ref="B63:D63"/>
    <mergeCell ref="E63:F63"/>
    <mergeCell ref="I63:J63"/>
    <mergeCell ref="A64:J64"/>
    <mergeCell ref="B65:D65"/>
    <mergeCell ref="E65:F65"/>
    <mergeCell ref="I65:J65"/>
    <mergeCell ref="A58:B58"/>
    <mergeCell ref="A59:J59"/>
    <mergeCell ref="B60:D60"/>
    <mergeCell ref="E60:F60"/>
    <mergeCell ref="I60:J60"/>
    <mergeCell ref="B61:D61"/>
    <mergeCell ref="E61:F61"/>
    <mergeCell ref="I61:J61"/>
    <mergeCell ref="A69:J69"/>
    <mergeCell ref="B70:D70"/>
    <mergeCell ref="E70:F70"/>
    <mergeCell ref="I70:J70"/>
    <mergeCell ref="B71:D71"/>
    <mergeCell ref="E71:F71"/>
    <mergeCell ref="I71:J71"/>
    <mergeCell ref="A66:J66"/>
    <mergeCell ref="B67:D67"/>
    <mergeCell ref="E67:F67"/>
    <mergeCell ref="I67:J67"/>
    <mergeCell ref="B68:D68"/>
    <mergeCell ref="E68:F68"/>
    <mergeCell ref="I68:J68"/>
    <mergeCell ref="A74:J74"/>
    <mergeCell ref="B75:F75"/>
    <mergeCell ref="G75:H75"/>
    <mergeCell ref="I75:J75"/>
    <mergeCell ref="B76:F76"/>
    <mergeCell ref="G76:H76"/>
    <mergeCell ref="I76:J76"/>
    <mergeCell ref="B72:D72"/>
    <mergeCell ref="E72:F72"/>
    <mergeCell ref="I72:J72"/>
    <mergeCell ref="B73:D73"/>
    <mergeCell ref="E73:F73"/>
    <mergeCell ref="I73:J73"/>
    <mergeCell ref="B79:F79"/>
    <mergeCell ref="G79:H79"/>
    <mergeCell ref="I79:J79"/>
    <mergeCell ref="B80:F80"/>
    <mergeCell ref="G80:H80"/>
    <mergeCell ref="I80:J80"/>
    <mergeCell ref="B77:F77"/>
    <mergeCell ref="G77:H77"/>
    <mergeCell ref="I77:J77"/>
    <mergeCell ref="B78:F78"/>
    <mergeCell ref="G78:H78"/>
    <mergeCell ref="I78:J78"/>
    <mergeCell ref="B83:F83"/>
    <mergeCell ref="G83:H83"/>
    <mergeCell ref="I83:J83"/>
    <mergeCell ref="B84:F84"/>
    <mergeCell ref="G84:H84"/>
    <mergeCell ref="I84:J84"/>
    <mergeCell ref="B81:F81"/>
    <mergeCell ref="G81:H81"/>
    <mergeCell ref="I81:J81"/>
    <mergeCell ref="B82:F82"/>
    <mergeCell ref="G82:H82"/>
    <mergeCell ref="I82:J82"/>
    <mergeCell ref="B87:F87"/>
    <mergeCell ref="G87:H87"/>
    <mergeCell ref="I87:J87"/>
    <mergeCell ref="B88:F88"/>
    <mergeCell ref="G88:H88"/>
    <mergeCell ref="I88:J88"/>
    <mergeCell ref="B85:F85"/>
    <mergeCell ref="G85:H85"/>
    <mergeCell ref="I85:J85"/>
    <mergeCell ref="B86:F86"/>
    <mergeCell ref="G86:H86"/>
    <mergeCell ref="I86:J86"/>
    <mergeCell ref="B91:F91"/>
    <mergeCell ref="G91:H91"/>
    <mergeCell ref="I91:J91"/>
    <mergeCell ref="B92:F92"/>
    <mergeCell ref="G92:H92"/>
    <mergeCell ref="I92:J92"/>
    <mergeCell ref="B89:F89"/>
    <mergeCell ref="G89:H89"/>
    <mergeCell ref="I89:J89"/>
    <mergeCell ref="B90:F90"/>
    <mergeCell ref="G90:H90"/>
    <mergeCell ref="I90:J90"/>
    <mergeCell ref="B95:F95"/>
    <mergeCell ref="G95:H95"/>
    <mergeCell ref="I95:J95"/>
    <mergeCell ref="B96:F96"/>
    <mergeCell ref="G96:H96"/>
    <mergeCell ref="I96:J96"/>
    <mergeCell ref="B93:F93"/>
    <mergeCell ref="G93:H93"/>
    <mergeCell ref="I93:J93"/>
    <mergeCell ref="B94:F94"/>
    <mergeCell ref="G94:H94"/>
    <mergeCell ref="I94:J94"/>
    <mergeCell ref="K98:L98"/>
    <mergeCell ref="A99:J99"/>
    <mergeCell ref="A100:J100"/>
    <mergeCell ref="B103:D103"/>
    <mergeCell ref="E103:F103"/>
    <mergeCell ref="G103:H103"/>
    <mergeCell ref="I103:J103"/>
    <mergeCell ref="B97:F97"/>
    <mergeCell ref="G97:H97"/>
    <mergeCell ref="I97:J97"/>
    <mergeCell ref="B98:F98"/>
    <mergeCell ref="G98:H98"/>
    <mergeCell ref="I98:J98"/>
    <mergeCell ref="B106:D106"/>
    <mergeCell ref="E106:F106"/>
    <mergeCell ref="G106:H106"/>
    <mergeCell ref="I106:J106"/>
    <mergeCell ref="B107:D107"/>
    <mergeCell ref="E107:F107"/>
    <mergeCell ref="G107:H107"/>
    <mergeCell ref="I107:J107"/>
    <mergeCell ref="B104:D104"/>
    <mergeCell ref="E104:F104"/>
    <mergeCell ref="G104:H104"/>
    <mergeCell ref="I104:J104"/>
    <mergeCell ref="B105:D105"/>
    <mergeCell ref="E105:F105"/>
    <mergeCell ref="G105:H105"/>
    <mergeCell ref="I105:J105"/>
    <mergeCell ref="B108:D108"/>
    <mergeCell ref="E108:F108"/>
    <mergeCell ref="G108:H108"/>
    <mergeCell ref="I108:J108"/>
    <mergeCell ref="A109:J109"/>
    <mergeCell ref="B112:D112"/>
    <mergeCell ref="E112:F112"/>
    <mergeCell ref="G112:H112"/>
    <mergeCell ref="I112:J112"/>
    <mergeCell ref="B113:D113"/>
    <mergeCell ref="E113:F113"/>
    <mergeCell ref="G113:H113"/>
    <mergeCell ref="I113:J113"/>
    <mergeCell ref="K119:L119"/>
    <mergeCell ref="A114:A115"/>
    <mergeCell ref="B114:C115"/>
    <mergeCell ref="E114:F114"/>
    <mergeCell ref="G114:H114"/>
    <mergeCell ref="I114:J114"/>
    <mergeCell ref="E115:F115"/>
    <mergeCell ref="G115:H115"/>
    <mergeCell ref="I115:J115"/>
    <mergeCell ref="B117:D117"/>
    <mergeCell ref="E117:F117"/>
    <mergeCell ref="G117:H117"/>
    <mergeCell ref="I117:J117"/>
    <mergeCell ref="B118:D118"/>
    <mergeCell ref="E118:F118"/>
    <mergeCell ref="G118:H118"/>
    <mergeCell ref="I118:J118"/>
    <mergeCell ref="B116:D116"/>
    <mergeCell ref="E116:F116"/>
    <mergeCell ref="G116:H116"/>
    <mergeCell ref="I116:J116"/>
    <mergeCell ref="B123:D123"/>
    <mergeCell ref="E123:F123"/>
    <mergeCell ref="G123:H123"/>
    <mergeCell ref="I123:J123"/>
    <mergeCell ref="B124:D124"/>
    <mergeCell ref="E124:F124"/>
    <mergeCell ref="G124:H124"/>
    <mergeCell ref="I124:J124"/>
    <mergeCell ref="A119:J119"/>
    <mergeCell ref="B122:D122"/>
    <mergeCell ref="E122:F122"/>
    <mergeCell ref="G122:H122"/>
    <mergeCell ref="I122:J122"/>
    <mergeCell ref="B125:D125"/>
    <mergeCell ref="E125:F125"/>
    <mergeCell ref="G125:H125"/>
    <mergeCell ref="I125:J125"/>
    <mergeCell ref="A126:J126"/>
    <mergeCell ref="B129:D129"/>
    <mergeCell ref="E129:F129"/>
    <mergeCell ref="G129:H129"/>
    <mergeCell ref="I129:J129"/>
    <mergeCell ref="B132:D132"/>
    <mergeCell ref="E132:F132"/>
    <mergeCell ref="G132:H132"/>
    <mergeCell ref="I132:J132"/>
    <mergeCell ref="A133:J133"/>
    <mergeCell ref="A136:J136"/>
    <mergeCell ref="B130:D130"/>
    <mergeCell ref="E130:F130"/>
    <mergeCell ref="G130:H130"/>
    <mergeCell ref="I130:J130"/>
    <mergeCell ref="B131:D131"/>
    <mergeCell ref="E131:F131"/>
    <mergeCell ref="G131:H131"/>
    <mergeCell ref="I131:J131"/>
    <mergeCell ref="B139:D139"/>
    <mergeCell ref="G139:H139"/>
    <mergeCell ref="I139:J139"/>
    <mergeCell ref="B140:D140"/>
    <mergeCell ref="G140:H140"/>
    <mergeCell ref="I140:J140"/>
    <mergeCell ref="B137:D137"/>
    <mergeCell ref="G137:H137"/>
    <mergeCell ref="I137:J137"/>
    <mergeCell ref="B138:D138"/>
    <mergeCell ref="G138:H138"/>
    <mergeCell ref="I138:J138"/>
    <mergeCell ref="B143:D143"/>
    <mergeCell ref="G143:H143"/>
    <mergeCell ref="I143:J143"/>
    <mergeCell ref="B144:D144"/>
    <mergeCell ref="G144:H144"/>
    <mergeCell ref="I144:J144"/>
    <mergeCell ref="B141:D141"/>
    <mergeCell ref="G141:H141"/>
    <mergeCell ref="I141:J141"/>
    <mergeCell ref="B142:D142"/>
    <mergeCell ref="G142:H142"/>
    <mergeCell ref="I142:J142"/>
    <mergeCell ref="B149:D149"/>
    <mergeCell ref="E149:F149"/>
    <mergeCell ref="G149:H149"/>
    <mergeCell ref="I149:J149"/>
    <mergeCell ref="B150:D150"/>
    <mergeCell ref="E150:F150"/>
    <mergeCell ref="G150:H150"/>
    <mergeCell ref="I150:J150"/>
    <mergeCell ref="A146:J146"/>
    <mergeCell ref="B147:D147"/>
    <mergeCell ref="E147:F147"/>
    <mergeCell ref="G147:H147"/>
    <mergeCell ref="I147:J147"/>
    <mergeCell ref="B148:D148"/>
    <mergeCell ref="E148:F148"/>
    <mergeCell ref="G148:H148"/>
    <mergeCell ref="I148:J148"/>
    <mergeCell ref="B154:D154"/>
    <mergeCell ref="F154:G154"/>
    <mergeCell ref="I154:J154"/>
    <mergeCell ref="B155:D155"/>
    <mergeCell ref="F155:G155"/>
    <mergeCell ref="I155:J155"/>
    <mergeCell ref="A151:J151"/>
    <mergeCell ref="B152:D152"/>
    <mergeCell ref="F152:G152"/>
    <mergeCell ref="I152:J152"/>
    <mergeCell ref="B153:D153"/>
    <mergeCell ref="F153:G153"/>
    <mergeCell ref="I153:J153"/>
    <mergeCell ref="B158:D158"/>
    <mergeCell ref="F158:G158"/>
    <mergeCell ref="I158:J158"/>
    <mergeCell ref="B159:D159"/>
    <mergeCell ref="F159:G159"/>
    <mergeCell ref="I159:J159"/>
    <mergeCell ref="B156:D156"/>
    <mergeCell ref="F156:G156"/>
    <mergeCell ref="I156:J156"/>
    <mergeCell ref="B157:D157"/>
    <mergeCell ref="F157:G157"/>
    <mergeCell ref="I157:J157"/>
    <mergeCell ref="B162:D162"/>
    <mergeCell ref="F162:G162"/>
    <mergeCell ref="I162:J162"/>
    <mergeCell ref="B163:D163"/>
    <mergeCell ref="F163:G163"/>
    <mergeCell ref="I163:J163"/>
    <mergeCell ref="B160:D160"/>
    <mergeCell ref="F160:G160"/>
    <mergeCell ref="I160:J160"/>
    <mergeCell ref="B161:D161"/>
    <mergeCell ref="F161:G161"/>
    <mergeCell ref="I161:J161"/>
    <mergeCell ref="B166:D166"/>
    <mergeCell ref="F166:G166"/>
    <mergeCell ref="I166:J166"/>
    <mergeCell ref="B167:D167"/>
    <mergeCell ref="F167:G167"/>
    <mergeCell ref="I167:J167"/>
    <mergeCell ref="B164:D164"/>
    <mergeCell ref="F164:G164"/>
    <mergeCell ref="I164:J164"/>
    <mergeCell ref="B165:D165"/>
    <mergeCell ref="F165:G165"/>
    <mergeCell ref="I165:J165"/>
    <mergeCell ref="B171:D171"/>
    <mergeCell ref="E171:F171"/>
    <mergeCell ref="G171:H171"/>
    <mergeCell ref="I171:J171"/>
    <mergeCell ref="B172:D172"/>
    <mergeCell ref="E172:F172"/>
    <mergeCell ref="G172:H172"/>
    <mergeCell ref="I172:J172"/>
    <mergeCell ref="A168:J168"/>
    <mergeCell ref="B169:D169"/>
    <mergeCell ref="E169:F169"/>
    <mergeCell ref="G169:H169"/>
    <mergeCell ref="I169:J169"/>
    <mergeCell ref="B170:D170"/>
    <mergeCell ref="E170:F170"/>
    <mergeCell ref="G170:H170"/>
    <mergeCell ref="I170:J170"/>
    <mergeCell ref="B176:D176"/>
    <mergeCell ref="G176:J176"/>
    <mergeCell ref="B177:D177"/>
    <mergeCell ref="B178:D178"/>
    <mergeCell ref="B179:D179"/>
    <mergeCell ref="B180:D180"/>
    <mergeCell ref="A173:J173"/>
    <mergeCell ref="A174:A175"/>
    <mergeCell ref="B174:D175"/>
    <mergeCell ref="E174:E175"/>
    <mergeCell ref="F174:F175"/>
    <mergeCell ref="G174:J174"/>
    <mergeCell ref="B187:D187"/>
    <mergeCell ref="G187:J187"/>
    <mergeCell ref="A188:J188"/>
    <mergeCell ref="A189:A190"/>
    <mergeCell ref="B189:D190"/>
    <mergeCell ref="E189:F190"/>
    <mergeCell ref="G189:J189"/>
    <mergeCell ref="B181:D181"/>
    <mergeCell ref="B182:D182"/>
    <mergeCell ref="B183:D183"/>
    <mergeCell ref="B184:D184"/>
    <mergeCell ref="B185:D185"/>
    <mergeCell ref="B186:D186"/>
    <mergeCell ref="B194:D194"/>
    <mergeCell ref="E194:F194"/>
    <mergeCell ref="B195:D195"/>
    <mergeCell ref="E195:F195"/>
    <mergeCell ref="B196:D196"/>
    <mergeCell ref="E196:F196"/>
    <mergeCell ref="B191:D191"/>
    <mergeCell ref="E191:F191"/>
    <mergeCell ref="G191:J191"/>
    <mergeCell ref="B192:D192"/>
    <mergeCell ref="E192:F192"/>
    <mergeCell ref="B193:D193"/>
    <mergeCell ref="E193:F193"/>
    <mergeCell ref="B200:D200"/>
    <mergeCell ref="E200:F200"/>
    <mergeCell ref="B201:D201"/>
    <mergeCell ref="E201:F201"/>
    <mergeCell ref="B202:D202"/>
    <mergeCell ref="E202:F202"/>
    <mergeCell ref="B197:D197"/>
    <mergeCell ref="E197:F197"/>
    <mergeCell ref="B198:D198"/>
    <mergeCell ref="E198:F198"/>
    <mergeCell ref="B199:D199"/>
    <mergeCell ref="E199:F199"/>
    <mergeCell ref="B206:D206"/>
    <mergeCell ref="E206:F206"/>
    <mergeCell ref="G206:H206"/>
    <mergeCell ref="I206:J206"/>
    <mergeCell ref="B207:D207"/>
    <mergeCell ref="E207:F207"/>
    <mergeCell ref="G207:H207"/>
    <mergeCell ref="I207:J207"/>
    <mergeCell ref="B203:D203"/>
    <mergeCell ref="E203:F203"/>
    <mergeCell ref="G203:J203"/>
    <mergeCell ref="A204:J204"/>
    <mergeCell ref="B205:D205"/>
    <mergeCell ref="E205:F205"/>
    <mergeCell ref="G205:H205"/>
    <mergeCell ref="I205:J205"/>
    <mergeCell ref="B211:D211"/>
    <mergeCell ref="E211:F211"/>
    <mergeCell ref="G211:H211"/>
    <mergeCell ref="I211:J211"/>
    <mergeCell ref="B212:D212"/>
    <mergeCell ref="G212:H212"/>
    <mergeCell ref="I212:J212"/>
    <mergeCell ref="B208:D208"/>
    <mergeCell ref="E208:F208"/>
    <mergeCell ref="G208:H208"/>
    <mergeCell ref="I208:J208"/>
    <mergeCell ref="A209:J209"/>
    <mergeCell ref="B210:D210"/>
    <mergeCell ref="E210:F210"/>
    <mergeCell ref="G210:H210"/>
    <mergeCell ref="I210:J210"/>
    <mergeCell ref="B215:D215"/>
    <mergeCell ref="G215:H215"/>
    <mergeCell ref="I215:J215"/>
    <mergeCell ref="B216:D216"/>
    <mergeCell ref="G216:H216"/>
    <mergeCell ref="I216:J216"/>
    <mergeCell ref="B213:D213"/>
    <mergeCell ref="G213:H213"/>
    <mergeCell ref="I213:J213"/>
    <mergeCell ref="B214:D214"/>
    <mergeCell ref="G214:H214"/>
    <mergeCell ref="I214:J214"/>
    <mergeCell ref="B219:D219"/>
    <mergeCell ref="G219:H219"/>
    <mergeCell ref="I219:J219"/>
    <mergeCell ref="B220:D220"/>
    <mergeCell ref="G220:H220"/>
    <mergeCell ref="I220:J220"/>
    <mergeCell ref="B217:D217"/>
    <mergeCell ref="G217:H217"/>
    <mergeCell ref="I217:J217"/>
    <mergeCell ref="B218:D218"/>
    <mergeCell ref="G218:H218"/>
    <mergeCell ref="I218:J218"/>
    <mergeCell ref="B224:D224"/>
    <mergeCell ref="E224:F224"/>
    <mergeCell ref="G224:H224"/>
    <mergeCell ref="I224:J224"/>
    <mergeCell ref="B225:D225"/>
    <mergeCell ref="E225:F225"/>
    <mergeCell ref="G225:H225"/>
    <mergeCell ref="I225:J225"/>
    <mergeCell ref="B221:D221"/>
    <mergeCell ref="E221:F221"/>
    <mergeCell ref="G221:H221"/>
    <mergeCell ref="I221:J221"/>
    <mergeCell ref="A222:J222"/>
    <mergeCell ref="A223:J223"/>
    <mergeCell ref="B229:D229"/>
    <mergeCell ref="G229:H229"/>
    <mergeCell ref="I229:J229"/>
    <mergeCell ref="B230:D230"/>
    <mergeCell ref="G230:H230"/>
    <mergeCell ref="I230:J230"/>
    <mergeCell ref="A226:J226"/>
    <mergeCell ref="B227:D227"/>
    <mergeCell ref="G227:H227"/>
    <mergeCell ref="I227:J227"/>
    <mergeCell ref="B228:D228"/>
    <mergeCell ref="G228:H228"/>
    <mergeCell ref="I228:J228"/>
    <mergeCell ref="B235:D235"/>
    <mergeCell ref="E235:F235"/>
    <mergeCell ref="B236:D236"/>
    <mergeCell ref="E236:F236"/>
    <mergeCell ref="B237:D237"/>
    <mergeCell ref="E237:F237"/>
    <mergeCell ref="A231:J231"/>
    <mergeCell ref="A232:A233"/>
    <mergeCell ref="B232:D233"/>
    <mergeCell ref="E232:F233"/>
    <mergeCell ref="G232:J232"/>
    <mergeCell ref="B234:D234"/>
    <mergeCell ref="E234:F234"/>
    <mergeCell ref="G234:J234"/>
    <mergeCell ref="D245:E245"/>
    <mergeCell ref="A246:C246"/>
    <mergeCell ref="D247:E247"/>
    <mergeCell ref="A248:C248"/>
    <mergeCell ref="D249:E249"/>
    <mergeCell ref="A253:B253"/>
    <mergeCell ref="B238:D238"/>
    <mergeCell ref="E238:F238"/>
    <mergeCell ref="G238:J238"/>
    <mergeCell ref="I240:J240"/>
    <mergeCell ref="I242:J242"/>
    <mergeCell ref="A244:C244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56"/>
  <sheetViews>
    <sheetView view="pageBreakPreview" topLeftCell="A166" zoomScaleNormal="100" zoomScaleSheetLayoutView="100" workbookViewId="0">
      <selection activeCell="B105" sqref="B105:D105"/>
    </sheetView>
  </sheetViews>
  <sheetFormatPr defaultColWidth="9.140625" defaultRowHeight="15" x14ac:dyDescent="0.25"/>
  <cols>
    <col min="1" max="1" width="5.140625" style="93" customWidth="1"/>
    <col min="2" max="2" width="25" style="93" customWidth="1"/>
    <col min="3" max="3" width="9.140625" style="93"/>
    <col min="4" max="4" width="12.28515625" style="93" customWidth="1"/>
    <col min="5" max="5" width="11.140625" style="93" customWidth="1"/>
    <col min="6" max="6" width="12.140625" style="93" customWidth="1"/>
    <col min="7" max="7" width="11.140625" style="93" customWidth="1"/>
    <col min="8" max="8" width="10.85546875" style="93" customWidth="1"/>
    <col min="9" max="9" width="9.5703125" style="93" bestFit="1" customWidth="1"/>
    <col min="10" max="10" width="17.5703125" style="93" customWidth="1"/>
    <col min="11" max="11" width="14.28515625" style="93" customWidth="1"/>
    <col min="12" max="12" width="14" style="93" customWidth="1"/>
    <col min="13" max="13" width="15.85546875" style="1" customWidth="1"/>
    <col min="14" max="16384" width="9.140625" style="93"/>
  </cols>
  <sheetData>
    <row r="1" spans="1:10" s="93" customFormat="1" ht="21" customHeight="1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s="93" customFormat="1" ht="34.5" customHeight="1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0" s="93" customFormat="1" ht="18" customHeight="1" x14ac:dyDescent="0.25">
      <c r="A3" s="432" t="s">
        <v>579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0" s="93" customFormat="1" ht="15.75" x14ac:dyDescent="0.25">
      <c r="A4" s="92"/>
      <c r="D4" s="94" t="s">
        <v>266</v>
      </c>
      <c r="E4" s="294">
        <v>2020</v>
      </c>
      <c r="F4" s="96" t="s">
        <v>279</v>
      </c>
    </row>
    <row r="5" spans="1:10" s="93" customFormat="1" ht="15.75" x14ac:dyDescent="0.25">
      <c r="A5" s="433" t="s">
        <v>345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0" s="93" customFormat="1" ht="15.75" x14ac:dyDescent="0.25">
      <c r="A6" s="92" t="s">
        <v>80</v>
      </c>
      <c r="C6" s="97">
        <v>111</v>
      </c>
      <c r="D6" s="97">
        <v>119</v>
      </c>
      <c r="E6" s="97"/>
      <c r="F6" s="98"/>
      <c r="G6" s="98"/>
      <c r="H6" s="98"/>
      <c r="I6" s="98"/>
      <c r="J6" s="98"/>
    </row>
    <row r="7" spans="1:10" s="93" customFormat="1" ht="15.75" x14ac:dyDescent="0.25">
      <c r="A7" s="92" t="s">
        <v>81</v>
      </c>
      <c r="D7" s="99" t="s">
        <v>380</v>
      </c>
      <c r="E7" s="99"/>
      <c r="F7" s="100"/>
      <c r="G7" s="99"/>
      <c r="H7" s="100"/>
      <c r="I7" s="100"/>
      <c r="J7" s="100"/>
    </row>
    <row r="8" spans="1:10" s="93" customFormat="1" ht="15.75" x14ac:dyDescent="0.25">
      <c r="A8" s="434" t="s">
        <v>295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0" s="93" customFormat="1" ht="15" customHeight="1" x14ac:dyDescent="0.25">
      <c r="A9" s="636" t="s">
        <v>1</v>
      </c>
      <c r="B9" s="636" t="s">
        <v>2</v>
      </c>
      <c r="C9" s="636" t="s">
        <v>3</v>
      </c>
      <c r="D9" s="639" t="s">
        <v>4</v>
      </c>
      <c r="E9" s="640"/>
      <c r="F9" s="640"/>
      <c r="G9" s="641"/>
      <c r="H9" s="636" t="s">
        <v>5</v>
      </c>
      <c r="I9" s="636" t="s">
        <v>6</v>
      </c>
      <c r="J9" s="636" t="s">
        <v>316</v>
      </c>
    </row>
    <row r="10" spans="1:10" s="93" customFormat="1" ht="13.5" customHeight="1" x14ac:dyDescent="0.25">
      <c r="A10" s="637"/>
      <c r="B10" s="637"/>
      <c r="C10" s="637"/>
      <c r="D10" s="636" t="s">
        <v>8</v>
      </c>
      <c r="E10" s="639" t="s">
        <v>9</v>
      </c>
      <c r="F10" s="640"/>
      <c r="G10" s="641"/>
      <c r="H10" s="637"/>
      <c r="I10" s="637"/>
      <c r="J10" s="637"/>
    </row>
    <row r="11" spans="1:10" s="93" customFormat="1" ht="74.25" customHeight="1" x14ac:dyDescent="0.25">
      <c r="A11" s="638"/>
      <c r="B11" s="638"/>
      <c r="C11" s="638"/>
      <c r="D11" s="638"/>
      <c r="E11" s="295" t="s">
        <v>10</v>
      </c>
      <c r="F11" s="295" t="s">
        <v>11</v>
      </c>
      <c r="G11" s="295" t="s">
        <v>12</v>
      </c>
      <c r="H11" s="638"/>
      <c r="I11" s="638"/>
      <c r="J11" s="638"/>
    </row>
    <row r="12" spans="1:10" s="93" customFormat="1" ht="14.25" customHeight="1" x14ac:dyDescent="0.25">
      <c r="A12" s="310">
        <v>1</v>
      </c>
      <c r="B12" s="310">
        <v>2</v>
      </c>
      <c r="C12" s="310">
        <v>3</v>
      </c>
      <c r="D12" s="310">
        <v>4</v>
      </c>
      <c r="E12" s="310">
        <v>5</v>
      </c>
      <c r="F12" s="310">
        <v>6</v>
      </c>
      <c r="G12" s="310">
        <v>7</v>
      </c>
      <c r="H12" s="310">
        <v>8</v>
      </c>
      <c r="I12" s="310">
        <v>9</v>
      </c>
      <c r="J12" s="310">
        <v>10</v>
      </c>
    </row>
    <row r="13" spans="1:10" s="371" customFormat="1" ht="15" customHeight="1" x14ac:dyDescent="0.2">
      <c r="A13" s="429" t="s">
        <v>319</v>
      </c>
      <c r="B13" s="630"/>
      <c r="C13" s="630"/>
      <c r="D13" s="630"/>
      <c r="E13" s="630"/>
      <c r="F13" s="630"/>
      <c r="G13" s="630"/>
      <c r="H13" s="630"/>
      <c r="I13" s="630"/>
      <c r="J13" s="631"/>
    </row>
    <row r="14" spans="1:10" s="371" customFormat="1" x14ac:dyDescent="0.2">
      <c r="A14" s="295"/>
      <c r="B14" s="130"/>
      <c r="C14" s="225"/>
      <c r="D14" s="131"/>
      <c r="E14" s="131"/>
      <c r="F14" s="131"/>
      <c r="G14" s="131"/>
      <c r="H14" s="132"/>
      <c r="I14" s="295"/>
      <c r="J14" s="140">
        <f>(D14*(H14/100+I14))*9</f>
        <v>0</v>
      </c>
    </row>
    <row r="15" spans="1:10" s="372" customFormat="1" ht="16.5" customHeight="1" x14ac:dyDescent="0.25">
      <c r="A15" s="644" t="s">
        <v>320</v>
      </c>
      <c r="B15" s="645"/>
      <c r="C15" s="226">
        <f>SUM(C14:C14)</f>
        <v>0</v>
      </c>
      <c r="D15" s="155">
        <f>D14</f>
        <v>0</v>
      </c>
      <c r="E15" s="156" t="s">
        <v>14</v>
      </c>
      <c r="F15" s="156" t="s">
        <v>14</v>
      </c>
      <c r="G15" s="156" t="s">
        <v>14</v>
      </c>
      <c r="H15" s="156" t="s">
        <v>14</v>
      </c>
      <c r="I15" s="156" t="s">
        <v>14</v>
      </c>
      <c r="J15" s="154">
        <f>SUM(J14:J14)</f>
        <v>0</v>
      </c>
    </row>
    <row r="16" spans="1:10" s="372" customFormat="1" ht="15" customHeight="1" x14ac:dyDescent="0.25">
      <c r="A16" s="429" t="s">
        <v>337</v>
      </c>
      <c r="B16" s="630"/>
      <c r="C16" s="630"/>
      <c r="D16" s="630"/>
      <c r="E16" s="630"/>
      <c r="F16" s="630"/>
      <c r="G16" s="630"/>
      <c r="H16" s="630"/>
      <c r="I16" s="630"/>
      <c r="J16" s="631"/>
    </row>
    <row r="17" spans="1:12" s="372" customFormat="1" ht="15" customHeight="1" x14ac:dyDescent="0.25">
      <c r="A17" s="429" t="s">
        <v>338</v>
      </c>
      <c r="B17" s="630"/>
      <c r="C17" s="630"/>
      <c r="D17" s="630"/>
      <c r="E17" s="630"/>
      <c r="F17" s="630"/>
      <c r="G17" s="630"/>
      <c r="H17" s="630"/>
      <c r="I17" s="630"/>
      <c r="J17" s="631"/>
    </row>
    <row r="18" spans="1:12" s="372" customFormat="1" x14ac:dyDescent="0.25">
      <c r="A18" s="295"/>
      <c r="B18" s="157"/>
      <c r="C18" s="158"/>
      <c r="D18" s="131"/>
      <c r="E18" s="149"/>
      <c r="F18" s="131"/>
      <c r="G18" s="131"/>
      <c r="H18" s="132"/>
      <c r="I18" s="295"/>
      <c r="J18" s="140">
        <f t="shared" ref="J18" si="0">(D18*(H18/100+I18))*12</f>
        <v>0</v>
      </c>
    </row>
    <row r="19" spans="1:12" s="372" customFormat="1" ht="16.5" customHeight="1" x14ac:dyDescent="0.25">
      <c r="A19" s="632" t="s">
        <v>339</v>
      </c>
      <c r="B19" s="633"/>
      <c r="C19" s="159">
        <f>SUM(C18:C18)</f>
        <v>0</v>
      </c>
      <c r="D19" s="160"/>
      <c r="E19" s="161" t="s">
        <v>14</v>
      </c>
      <c r="F19" s="161" t="s">
        <v>14</v>
      </c>
      <c r="G19" s="161" t="s">
        <v>14</v>
      </c>
      <c r="H19" s="161" t="s">
        <v>14</v>
      </c>
      <c r="I19" s="161" t="s">
        <v>14</v>
      </c>
      <c r="J19" s="162">
        <f>SUM(J18:J18)</f>
        <v>0</v>
      </c>
    </row>
    <row r="20" spans="1:12" s="372" customFormat="1" ht="16.5" customHeight="1" x14ac:dyDescent="0.25">
      <c r="A20" s="429" t="s">
        <v>340</v>
      </c>
      <c r="B20" s="630"/>
      <c r="C20" s="630"/>
      <c r="D20" s="630"/>
      <c r="E20" s="630"/>
      <c r="F20" s="630"/>
      <c r="G20" s="630"/>
      <c r="H20" s="630"/>
      <c r="I20" s="630"/>
      <c r="J20" s="631"/>
    </row>
    <row r="21" spans="1:12" s="372" customFormat="1" ht="16.5" customHeight="1" x14ac:dyDescent="0.25">
      <c r="A21" s="295"/>
      <c r="B21" s="130"/>
      <c r="C21" s="140"/>
      <c r="D21" s="131"/>
      <c r="E21" s="131"/>
      <c r="F21" s="131"/>
      <c r="G21" s="131"/>
      <c r="H21" s="132"/>
      <c r="I21" s="295"/>
      <c r="J21" s="140">
        <f>(D21*(H21/100+I21))*10</f>
        <v>0</v>
      </c>
    </row>
    <row r="22" spans="1:12" s="372" customFormat="1" ht="16.5" customHeight="1" x14ac:dyDescent="0.25">
      <c r="A22" s="634" t="s">
        <v>341</v>
      </c>
      <c r="B22" s="635"/>
      <c r="C22" s="163">
        <f>SUM(C21:C21)</f>
        <v>0</v>
      </c>
      <c r="D22" s="155">
        <f>SUM(D21:D21)</f>
        <v>0</v>
      </c>
      <c r="E22" s="156" t="s">
        <v>14</v>
      </c>
      <c r="F22" s="156" t="s">
        <v>14</v>
      </c>
      <c r="G22" s="156" t="s">
        <v>14</v>
      </c>
      <c r="H22" s="156" t="s">
        <v>14</v>
      </c>
      <c r="I22" s="156" t="s">
        <v>14</v>
      </c>
      <c r="J22" s="155">
        <f>SUM(J21:J21)</f>
        <v>0</v>
      </c>
    </row>
    <row r="23" spans="1:12" s="372" customFormat="1" ht="15" customHeight="1" x14ac:dyDescent="0.25">
      <c r="A23" s="429" t="s">
        <v>375</v>
      </c>
      <c r="B23" s="630"/>
      <c r="C23" s="630"/>
      <c r="D23" s="630"/>
      <c r="E23" s="630"/>
      <c r="F23" s="630"/>
      <c r="G23" s="630"/>
      <c r="H23" s="630"/>
      <c r="I23" s="630"/>
      <c r="J23" s="631"/>
    </row>
    <row r="24" spans="1:12" s="372" customFormat="1" x14ac:dyDescent="0.25">
      <c r="A24" s="295"/>
      <c r="B24" s="130"/>
      <c r="C24" s="140"/>
      <c r="D24" s="131"/>
      <c r="E24" s="131"/>
      <c r="F24" s="131"/>
      <c r="G24" s="131"/>
      <c r="H24" s="132"/>
      <c r="I24" s="295"/>
      <c r="J24" s="140">
        <f>(D24*(H24/100+I24))*10</f>
        <v>0</v>
      </c>
    </row>
    <row r="25" spans="1:12" s="372" customFormat="1" ht="15" customHeight="1" x14ac:dyDescent="0.25">
      <c r="A25" s="634" t="s">
        <v>341</v>
      </c>
      <c r="B25" s="635"/>
      <c r="C25" s="163">
        <f>SUM(C24:C24)</f>
        <v>0</v>
      </c>
      <c r="D25" s="155">
        <f>SUM(D24:D24)</f>
        <v>0</v>
      </c>
      <c r="E25" s="156" t="s">
        <v>14</v>
      </c>
      <c r="F25" s="156" t="s">
        <v>14</v>
      </c>
      <c r="G25" s="156" t="s">
        <v>14</v>
      </c>
      <c r="H25" s="156" t="s">
        <v>14</v>
      </c>
      <c r="I25" s="156" t="s">
        <v>14</v>
      </c>
      <c r="J25" s="155">
        <f>SUM(J24:J24)</f>
        <v>0</v>
      </c>
    </row>
    <row r="26" spans="1:12" s="372" customFormat="1" ht="15" customHeight="1" x14ac:dyDescent="0.25">
      <c r="A26" s="642" t="s">
        <v>13</v>
      </c>
      <c r="B26" s="643"/>
      <c r="C26" s="227">
        <f>C15+C19+C22+C25</f>
        <v>0</v>
      </c>
      <c r="D26" s="164"/>
      <c r="E26" s="165" t="s">
        <v>14</v>
      </c>
      <c r="F26" s="165" t="s">
        <v>14</v>
      </c>
      <c r="G26" s="165" t="s">
        <v>14</v>
      </c>
      <c r="H26" s="165" t="s">
        <v>14</v>
      </c>
      <c r="I26" s="165" t="s">
        <v>14</v>
      </c>
      <c r="J26" s="166">
        <v>0</v>
      </c>
      <c r="K26" s="373"/>
      <c r="L26" s="374"/>
    </row>
    <row r="27" spans="1:12" s="372" customFormat="1" ht="6" customHeight="1" x14ac:dyDescent="0.25">
      <c r="A27" s="647"/>
      <c r="B27" s="647"/>
      <c r="C27" s="167"/>
      <c r="D27" s="168"/>
      <c r="E27" s="169"/>
      <c r="F27" s="169"/>
      <c r="G27" s="169"/>
      <c r="H27" s="169"/>
      <c r="I27" s="169"/>
      <c r="J27" s="170"/>
      <c r="K27" s="374"/>
    </row>
    <row r="28" spans="1:12" s="93" customFormat="1" ht="33.75" customHeight="1" x14ac:dyDescent="0.25">
      <c r="A28" s="484" t="s">
        <v>581</v>
      </c>
      <c r="B28" s="484"/>
      <c r="C28" s="484"/>
      <c r="D28" s="484"/>
      <c r="E28" s="484"/>
      <c r="F28" s="484"/>
      <c r="G28" s="484"/>
      <c r="H28" s="484"/>
      <c r="I28" s="484"/>
      <c r="J28" s="484"/>
    </row>
    <row r="29" spans="1:12" s="93" customFormat="1" ht="36.75" customHeight="1" x14ac:dyDescent="0.25">
      <c r="A29" s="293" t="s">
        <v>1</v>
      </c>
      <c r="B29" s="479" t="s">
        <v>15</v>
      </c>
      <c r="C29" s="646"/>
      <c r="D29" s="480"/>
      <c r="E29" s="479" t="s">
        <v>16</v>
      </c>
      <c r="F29" s="480"/>
      <c r="G29" s="293" t="s">
        <v>17</v>
      </c>
      <c r="H29" s="293" t="s">
        <v>18</v>
      </c>
      <c r="I29" s="479" t="s">
        <v>104</v>
      </c>
      <c r="J29" s="480"/>
    </row>
    <row r="30" spans="1:12" s="93" customFormat="1" ht="13.5" customHeight="1" x14ac:dyDescent="0.25">
      <c r="A30" s="293">
        <v>1</v>
      </c>
      <c r="B30" s="479">
        <v>2</v>
      </c>
      <c r="C30" s="646"/>
      <c r="D30" s="480"/>
      <c r="E30" s="479">
        <v>3</v>
      </c>
      <c r="F30" s="480"/>
      <c r="G30" s="293">
        <v>4</v>
      </c>
      <c r="H30" s="293">
        <v>5</v>
      </c>
      <c r="I30" s="479">
        <v>6</v>
      </c>
      <c r="J30" s="480"/>
    </row>
    <row r="31" spans="1:12" s="378" customFormat="1" ht="17.25" customHeight="1" x14ac:dyDescent="0.2">
      <c r="A31" s="375"/>
      <c r="B31" s="656" t="s">
        <v>585</v>
      </c>
      <c r="C31" s="656"/>
      <c r="D31" s="656"/>
      <c r="E31" s="656"/>
      <c r="F31" s="656"/>
      <c r="G31" s="656"/>
      <c r="H31" s="656"/>
      <c r="I31" s="657">
        <f>SUM(I32)</f>
        <v>0</v>
      </c>
      <c r="J31" s="658"/>
      <c r="K31" s="376"/>
      <c r="L31" s="377"/>
    </row>
    <row r="32" spans="1:12" s="93" customFormat="1" ht="13.5" customHeight="1" x14ac:dyDescent="0.25">
      <c r="A32" s="301" t="s">
        <v>70</v>
      </c>
      <c r="B32" s="462" t="s">
        <v>580</v>
      </c>
      <c r="C32" s="463"/>
      <c r="D32" s="464"/>
      <c r="E32" s="301"/>
      <c r="F32" s="301">
        <v>1</v>
      </c>
      <c r="G32" s="611">
        <v>40000</v>
      </c>
      <c r="H32" s="612"/>
      <c r="I32" s="612"/>
      <c r="J32" s="613"/>
    </row>
    <row r="33" spans="1:10" s="93" customFormat="1" x14ac:dyDescent="0.25">
      <c r="A33" s="291"/>
      <c r="B33" s="648" t="s">
        <v>13</v>
      </c>
      <c r="C33" s="649"/>
      <c r="D33" s="650"/>
      <c r="E33" s="482" t="s">
        <v>14</v>
      </c>
      <c r="F33" s="483"/>
      <c r="G33" s="291" t="s">
        <v>14</v>
      </c>
      <c r="H33" s="291" t="s">
        <v>14</v>
      </c>
      <c r="I33" s="651">
        <f>G32</f>
        <v>40000</v>
      </c>
      <c r="J33" s="652"/>
    </row>
    <row r="34" spans="1:10" s="378" customFormat="1" ht="22.5" customHeight="1" x14ac:dyDescent="0.25">
      <c r="A34" s="539" t="s">
        <v>360</v>
      </c>
      <c r="B34" s="539"/>
      <c r="C34" s="539"/>
      <c r="D34" s="539"/>
      <c r="E34" s="539"/>
      <c r="F34" s="539"/>
      <c r="G34" s="539"/>
      <c r="H34" s="539"/>
      <c r="I34" s="539"/>
      <c r="J34" s="539"/>
    </row>
    <row r="35" spans="1:10" s="378" customFormat="1" ht="50.25" customHeight="1" x14ac:dyDescent="0.2">
      <c r="A35" s="293" t="s">
        <v>1</v>
      </c>
      <c r="B35" s="479" t="s">
        <v>15</v>
      </c>
      <c r="C35" s="646"/>
      <c r="D35" s="480"/>
      <c r="E35" s="479" t="s">
        <v>20</v>
      </c>
      <c r="F35" s="480"/>
      <c r="G35" s="293" t="s">
        <v>21</v>
      </c>
      <c r="H35" s="293" t="s">
        <v>22</v>
      </c>
      <c r="I35" s="479" t="s">
        <v>19</v>
      </c>
      <c r="J35" s="480"/>
    </row>
    <row r="36" spans="1:10" s="93" customFormat="1" ht="13.5" customHeight="1" x14ac:dyDescent="0.25">
      <c r="A36" s="293">
        <v>1</v>
      </c>
      <c r="B36" s="479">
        <v>2</v>
      </c>
      <c r="C36" s="646"/>
      <c r="D36" s="480"/>
      <c r="E36" s="479">
        <v>3</v>
      </c>
      <c r="F36" s="480"/>
      <c r="G36" s="293">
        <v>4</v>
      </c>
      <c r="H36" s="293">
        <v>5</v>
      </c>
      <c r="I36" s="479">
        <v>6</v>
      </c>
      <c r="J36" s="480"/>
    </row>
    <row r="37" spans="1:10" s="93" customFormat="1" x14ac:dyDescent="0.25">
      <c r="A37" s="219"/>
      <c r="B37" s="653" t="s">
        <v>13</v>
      </c>
      <c r="C37" s="654"/>
      <c r="D37" s="655"/>
      <c r="E37" s="482" t="s">
        <v>14</v>
      </c>
      <c r="F37" s="483"/>
      <c r="G37" s="291" t="s">
        <v>14</v>
      </c>
      <c r="H37" s="291" t="s">
        <v>14</v>
      </c>
      <c r="I37" s="651"/>
      <c r="J37" s="652"/>
    </row>
    <row r="38" spans="1:10" s="93" customFormat="1" ht="53.25" customHeight="1" x14ac:dyDescent="0.25">
      <c r="A38" s="539" t="s">
        <v>298</v>
      </c>
      <c r="B38" s="539"/>
      <c r="C38" s="539"/>
      <c r="D38" s="539"/>
      <c r="E38" s="539"/>
      <c r="F38" s="539"/>
      <c r="G38" s="539"/>
      <c r="H38" s="539"/>
      <c r="I38" s="539"/>
      <c r="J38" s="539"/>
    </row>
    <row r="39" spans="1:10" s="93" customFormat="1" ht="25.5" customHeight="1" x14ac:dyDescent="0.25">
      <c r="A39" s="288" t="s">
        <v>1</v>
      </c>
      <c r="B39" s="490" t="s">
        <v>23</v>
      </c>
      <c r="C39" s="491"/>
      <c r="D39" s="491"/>
      <c r="E39" s="491"/>
      <c r="F39" s="492"/>
      <c r="G39" s="490" t="s">
        <v>24</v>
      </c>
      <c r="H39" s="492"/>
      <c r="I39" s="490" t="s">
        <v>25</v>
      </c>
      <c r="J39" s="492"/>
    </row>
    <row r="40" spans="1:10" s="93" customFormat="1" ht="12" customHeight="1" x14ac:dyDescent="0.25">
      <c r="A40" s="288">
        <v>1</v>
      </c>
      <c r="B40" s="490">
        <v>2</v>
      </c>
      <c r="C40" s="491"/>
      <c r="D40" s="491"/>
      <c r="E40" s="491"/>
      <c r="F40" s="492"/>
      <c r="G40" s="490">
        <v>3</v>
      </c>
      <c r="H40" s="492"/>
      <c r="I40" s="490">
        <v>4</v>
      </c>
      <c r="J40" s="492"/>
    </row>
    <row r="41" spans="1:10" s="93" customFormat="1" ht="15.75" customHeight="1" x14ac:dyDescent="0.25">
      <c r="A41" s="298" t="s">
        <v>70</v>
      </c>
      <c r="B41" s="472" t="s">
        <v>26</v>
      </c>
      <c r="C41" s="473"/>
      <c r="D41" s="473"/>
      <c r="E41" s="473"/>
      <c r="F41" s="474"/>
      <c r="G41" s="475" t="s">
        <v>14</v>
      </c>
      <c r="H41" s="476"/>
      <c r="I41" s="443">
        <f>SUM(I43:J45)</f>
        <v>0</v>
      </c>
      <c r="J41" s="444"/>
    </row>
    <row r="42" spans="1:10" s="378" customFormat="1" x14ac:dyDescent="0.25">
      <c r="A42" s="102"/>
      <c r="B42" s="496" t="s">
        <v>9</v>
      </c>
      <c r="C42" s="504"/>
      <c r="D42" s="504"/>
      <c r="E42" s="504"/>
      <c r="F42" s="497"/>
      <c r="G42" s="458"/>
      <c r="H42" s="459"/>
      <c r="I42" s="460"/>
      <c r="J42" s="461"/>
    </row>
    <row r="43" spans="1:10" s="93" customFormat="1" x14ac:dyDescent="0.25">
      <c r="A43" s="301" t="s">
        <v>27</v>
      </c>
      <c r="B43" s="566" t="s">
        <v>28</v>
      </c>
      <c r="C43" s="567"/>
      <c r="D43" s="567"/>
      <c r="E43" s="567"/>
      <c r="F43" s="568"/>
      <c r="G43" s="465">
        <f>J26</f>
        <v>0</v>
      </c>
      <c r="H43" s="466"/>
      <c r="I43" s="460">
        <f>G43*22%</f>
        <v>0</v>
      </c>
      <c r="J43" s="461"/>
    </row>
    <row r="44" spans="1:10" s="93" customFormat="1" x14ac:dyDescent="0.25">
      <c r="A44" s="301" t="s">
        <v>29</v>
      </c>
      <c r="B44" s="455" t="s">
        <v>30</v>
      </c>
      <c r="C44" s="456"/>
      <c r="D44" s="456"/>
      <c r="E44" s="456"/>
      <c r="F44" s="457"/>
      <c r="G44" s="458"/>
      <c r="H44" s="459"/>
      <c r="I44" s="460"/>
      <c r="J44" s="461"/>
    </row>
    <row r="45" spans="1:10" s="93" customFormat="1" ht="15" customHeight="1" x14ac:dyDescent="0.25">
      <c r="A45" s="301" t="s">
        <v>31</v>
      </c>
      <c r="B45" s="462" t="s">
        <v>32</v>
      </c>
      <c r="C45" s="463"/>
      <c r="D45" s="463"/>
      <c r="E45" s="463"/>
      <c r="F45" s="464"/>
      <c r="G45" s="458"/>
      <c r="H45" s="459"/>
      <c r="I45" s="460"/>
      <c r="J45" s="461"/>
    </row>
    <row r="46" spans="1:10" s="93" customFormat="1" ht="15" customHeight="1" x14ac:dyDescent="0.25">
      <c r="A46" s="298" t="s">
        <v>75</v>
      </c>
      <c r="B46" s="472" t="s">
        <v>33</v>
      </c>
      <c r="C46" s="473"/>
      <c r="D46" s="473"/>
      <c r="E46" s="473"/>
      <c r="F46" s="474"/>
      <c r="G46" s="475" t="s">
        <v>14</v>
      </c>
      <c r="H46" s="476"/>
      <c r="I46" s="443">
        <f>SUM(I48:J52)</f>
        <v>0</v>
      </c>
      <c r="J46" s="444"/>
    </row>
    <row r="47" spans="1:10" s="93" customFormat="1" ht="14.25" customHeight="1" x14ac:dyDescent="0.25">
      <c r="A47" s="102"/>
      <c r="B47" s="496" t="s">
        <v>9</v>
      </c>
      <c r="C47" s="504"/>
      <c r="D47" s="504"/>
      <c r="E47" s="504"/>
      <c r="F47" s="497"/>
      <c r="G47" s="458"/>
      <c r="H47" s="459"/>
      <c r="I47" s="460"/>
      <c r="J47" s="461"/>
    </row>
    <row r="48" spans="1:10" s="93" customFormat="1" ht="28.5" customHeight="1" x14ac:dyDescent="0.25">
      <c r="A48" s="301" t="s">
        <v>34</v>
      </c>
      <c r="B48" s="462" t="s">
        <v>35</v>
      </c>
      <c r="C48" s="463"/>
      <c r="D48" s="463"/>
      <c r="E48" s="463"/>
      <c r="F48" s="464"/>
      <c r="G48" s="465">
        <f>G43</f>
        <v>0</v>
      </c>
      <c r="H48" s="466"/>
      <c r="I48" s="460">
        <f>G48*2.9%</f>
        <v>0</v>
      </c>
      <c r="J48" s="461"/>
    </row>
    <row r="49" spans="1:12" s="93" customFormat="1" ht="15" customHeight="1" x14ac:dyDescent="0.25">
      <c r="A49" s="301" t="s">
        <v>36</v>
      </c>
      <c r="B49" s="462" t="s">
        <v>37</v>
      </c>
      <c r="C49" s="463"/>
      <c r="D49" s="463"/>
      <c r="E49" s="463"/>
      <c r="F49" s="464"/>
      <c r="G49" s="458"/>
      <c r="H49" s="459"/>
      <c r="I49" s="460"/>
      <c r="J49" s="461"/>
    </row>
    <row r="50" spans="1:12" s="93" customFormat="1" ht="26.25" customHeight="1" x14ac:dyDescent="0.25">
      <c r="A50" s="301" t="s">
        <v>38</v>
      </c>
      <c r="B50" s="462" t="s">
        <v>39</v>
      </c>
      <c r="C50" s="463"/>
      <c r="D50" s="463"/>
      <c r="E50" s="463"/>
      <c r="F50" s="464"/>
      <c r="G50" s="465">
        <f>G43</f>
        <v>0</v>
      </c>
      <c r="H50" s="466"/>
      <c r="I50" s="460">
        <f>G50*0.2%</f>
        <v>0</v>
      </c>
      <c r="J50" s="461"/>
    </row>
    <row r="51" spans="1:12" s="93" customFormat="1" ht="15" customHeight="1" x14ac:dyDescent="0.25">
      <c r="A51" s="301" t="s">
        <v>40</v>
      </c>
      <c r="B51" s="462" t="s">
        <v>41</v>
      </c>
      <c r="C51" s="463"/>
      <c r="D51" s="463"/>
      <c r="E51" s="463"/>
      <c r="F51" s="464"/>
      <c r="G51" s="458"/>
      <c r="H51" s="459"/>
      <c r="I51" s="460"/>
      <c r="J51" s="461"/>
    </row>
    <row r="52" spans="1:12" s="93" customFormat="1" ht="15" customHeight="1" x14ac:dyDescent="0.25">
      <c r="A52" s="301" t="s">
        <v>42</v>
      </c>
      <c r="B52" s="462" t="s">
        <v>41</v>
      </c>
      <c r="C52" s="463"/>
      <c r="D52" s="463"/>
      <c r="E52" s="463"/>
      <c r="F52" s="464"/>
      <c r="G52" s="458"/>
      <c r="H52" s="459"/>
      <c r="I52" s="460"/>
      <c r="J52" s="461"/>
      <c r="K52" s="659"/>
      <c r="L52" s="660"/>
    </row>
    <row r="53" spans="1:12" s="378" customFormat="1" ht="33" customHeight="1" x14ac:dyDescent="0.25">
      <c r="A53" s="298" t="s">
        <v>77</v>
      </c>
      <c r="B53" s="472" t="s">
        <v>43</v>
      </c>
      <c r="C53" s="473"/>
      <c r="D53" s="473"/>
      <c r="E53" s="473"/>
      <c r="F53" s="474"/>
      <c r="G53" s="493">
        <f>G43</f>
        <v>0</v>
      </c>
      <c r="H53" s="494"/>
      <c r="I53" s="443">
        <f>G53*5.1%</f>
        <v>0</v>
      </c>
      <c r="J53" s="444"/>
      <c r="K53" s="379"/>
      <c r="L53" s="380"/>
    </row>
    <row r="54" spans="1:12" s="378" customFormat="1" x14ac:dyDescent="0.25">
      <c r="A54" s="301"/>
      <c r="B54" s="448" t="s">
        <v>13</v>
      </c>
      <c r="C54" s="449"/>
      <c r="D54" s="449"/>
      <c r="E54" s="449"/>
      <c r="F54" s="450"/>
      <c r="G54" s="451" t="s">
        <v>14</v>
      </c>
      <c r="H54" s="452"/>
      <c r="I54" s="623"/>
      <c r="J54" s="624"/>
    </row>
    <row r="55" spans="1:12" s="93" customFormat="1" ht="34.5" customHeight="1" x14ac:dyDescent="0.25">
      <c r="A55" s="488" t="s">
        <v>205</v>
      </c>
      <c r="B55" s="488"/>
      <c r="C55" s="488"/>
      <c r="D55" s="488"/>
      <c r="E55" s="488"/>
      <c r="F55" s="488"/>
      <c r="G55" s="488"/>
      <c r="H55" s="488"/>
      <c r="I55" s="488"/>
      <c r="J55" s="488"/>
      <c r="K55" s="381"/>
      <c r="L55" s="381"/>
    </row>
    <row r="56" spans="1:12" s="378" customFormat="1" ht="18" customHeight="1" x14ac:dyDescent="0.25">
      <c r="A56" s="489" t="s">
        <v>361</v>
      </c>
      <c r="B56" s="489"/>
      <c r="C56" s="489"/>
      <c r="D56" s="489"/>
      <c r="E56" s="489"/>
      <c r="F56" s="489"/>
      <c r="G56" s="489"/>
      <c r="H56" s="489"/>
      <c r="I56" s="489"/>
      <c r="J56" s="489"/>
      <c r="K56" s="379"/>
      <c r="L56" s="380"/>
    </row>
    <row r="57" spans="1:12" s="378" customFormat="1" x14ac:dyDescent="0.25">
      <c r="A57" s="221" t="s">
        <v>80</v>
      </c>
      <c r="B57" s="93"/>
      <c r="C57" s="97"/>
      <c r="D57" s="97"/>
      <c r="E57" s="97"/>
      <c r="F57" s="98"/>
      <c r="G57" s="98"/>
      <c r="H57" s="98"/>
      <c r="I57" s="98"/>
      <c r="J57" s="98"/>
    </row>
    <row r="58" spans="1:12" s="93" customFormat="1" x14ac:dyDescent="0.25">
      <c r="A58" s="221" t="s">
        <v>81</v>
      </c>
      <c r="E58" s="99"/>
      <c r="F58" s="100"/>
      <c r="G58" s="100"/>
      <c r="H58" s="100"/>
      <c r="I58" s="100"/>
      <c r="J58" s="100"/>
    </row>
    <row r="59" spans="1:12" s="93" customFormat="1" ht="25.5" customHeight="1" x14ac:dyDescent="0.25">
      <c r="A59" s="288" t="s">
        <v>1</v>
      </c>
      <c r="B59" s="490" t="s">
        <v>44</v>
      </c>
      <c r="C59" s="491"/>
      <c r="D59" s="492"/>
      <c r="E59" s="490" t="s">
        <v>45</v>
      </c>
      <c r="F59" s="492"/>
      <c r="G59" s="490" t="s">
        <v>46</v>
      </c>
      <c r="H59" s="492"/>
      <c r="I59" s="490" t="s">
        <v>102</v>
      </c>
      <c r="J59" s="492"/>
    </row>
    <row r="60" spans="1:12" s="378" customFormat="1" ht="11.25" customHeight="1" x14ac:dyDescent="0.2">
      <c r="A60" s="288">
        <v>1</v>
      </c>
      <c r="B60" s="490">
        <v>2</v>
      </c>
      <c r="C60" s="491"/>
      <c r="D60" s="492"/>
      <c r="E60" s="490">
        <v>3</v>
      </c>
      <c r="F60" s="492"/>
      <c r="G60" s="490">
        <v>4</v>
      </c>
      <c r="H60" s="492"/>
      <c r="I60" s="490">
        <v>5</v>
      </c>
      <c r="J60" s="492"/>
    </row>
    <row r="61" spans="1:12" s="93" customFormat="1" ht="13.5" customHeight="1" x14ac:dyDescent="0.25">
      <c r="A61" s="299"/>
      <c r="B61" s="448" t="s">
        <v>13</v>
      </c>
      <c r="C61" s="449"/>
      <c r="D61" s="450"/>
      <c r="E61" s="451" t="s">
        <v>14</v>
      </c>
      <c r="F61" s="452"/>
      <c r="G61" s="451" t="s">
        <v>14</v>
      </c>
      <c r="H61" s="452"/>
      <c r="I61" s="451"/>
      <c r="J61" s="452"/>
      <c r="K61" s="125"/>
    </row>
    <row r="62" spans="1:12" s="93" customFormat="1" ht="16.5" customHeight="1" x14ac:dyDescent="0.25">
      <c r="A62" s="540" t="s">
        <v>364</v>
      </c>
      <c r="B62" s="540"/>
      <c r="C62" s="540"/>
      <c r="D62" s="540"/>
      <c r="E62" s="540"/>
      <c r="F62" s="540"/>
      <c r="G62" s="540"/>
      <c r="H62" s="540"/>
      <c r="I62" s="540"/>
      <c r="J62" s="540"/>
    </row>
    <row r="63" spans="1:12" s="93" customFormat="1" ht="13.5" customHeight="1" x14ac:dyDescent="0.25">
      <c r="A63" s="221" t="s">
        <v>80</v>
      </c>
      <c r="C63" s="97"/>
      <c r="D63" s="97"/>
      <c r="E63" s="97"/>
      <c r="F63" s="98"/>
      <c r="G63" s="98"/>
      <c r="H63" s="98"/>
      <c r="I63" s="98"/>
      <c r="J63" s="98"/>
    </row>
    <row r="64" spans="1:12" s="93" customFormat="1" x14ac:dyDescent="0.25">
      <c r="A64" s="221" t="s">
        <v>81</v>
      </c>
      <c r="E64" s="99"/>
      <c r="F64" s="100"/>
      <c r="G64" s="100"/>
      <c r="H64" s="100"/>
      <c r="I64" s="100"/>
      <c r="J64" s="100"/>
    </row>
    <row r="65" spans="1:11" s="378" customFormat="1" ht="15.75" customHeight="1" x14ac:dyDescent="0.2">
      <c r="A65" s="288" t="s">
        <v>1</v>
      </c>
      <c r="B65" s="490" t="s">
        <v>15</v>
      </c>
      <c r="C65" s="491"/>
      <c r="D65" s="492"/>
      <c r="E65" s="490" t="s">
        <v>47</v>
      </c>
      <c r="F65" s="492"/>
      <c r="G65" s="490" t="s">
        <v>48</v>
      </c>
      <c r="H65" s="492"/>
      <c r="I65" s="490" t="s">
        <v>103</v>
      </c>
      <c r="J65" s="492"/>
    </row>
    <row r="66" spans="1:11" s="378" customFormat="1" ht="12.75" x14ac:dyDescent="0.2">
      <c r="A66" s="288">
        <v>1</v>
      </c>
      <c r="B66" s="490">
        <v>2</v>
      </c>
      <c r="C66" s="491"/>
      <c r="D66" s="492"/>
      <c r="E66" s="490">
        <v>3</v>
      </c>
      <c r="F66" s="492"/>
      <c r="G66" s="490">
        <v>4</v>
      </c>
      <c r="H66" s="492"/>
      <c r="I66" s="490">
        <v>5</v>
      </c>
      <c r="J66" s="492"/>
    </row>
    <row r="67" spans="1:11" s="93" customFormat="1" x14ac:dyDescent="0.25">
      <c r="A67" s="299"/>
      <c r="B67" s="448" t="s">
        <v>13</v>
      </c>
      <c r="C67" s="449"/>
      <c r="D67" s="450"/>
      <c r="E67" s="451" t="s">
        <v>74</v>
      </c>
      <c r="F67" s="452"/>
      <c r="G67" s="451" t="s">
        <v>14</v>
      </c>
      <c r="H67" s="452"/>
      <c r="I67" s="627"/>
      <c r="J67" s="628"/>
    </row>
    <row r="68" spans="1:11" s="93" customFormat="1" ht="14.25" customHeight="1" x14ac:dyDescent="0.25">
      <c r="A68" s="629" t="s">
        <v>85</v>
      </c>
      <c r="B68" s="629"/>
      <c r="C68" s="629"/>
      <c r="D68" s="629"/>
      <c r="E68" s="629"/>
      <c r="F68" s="629"/>
      <c r="G68" s="629"/>
      <c r="H68" s="629"/>
      <c r="I68" s="629"/>
      <c r="J68" s="629"/>
    </row>
    <row r="69" spans="1:11" s="93" customFormat="1" ht="13.5" customHeight="1" x14ac:dyDescent="0.25">
      <c r="A69" s="221" t="s">
        <v>80</v>
      </c>
      <c r="C69" s="97"/>
      <c r="D69" s="97"/>
      <c r="E69" s="97"/>
      <c r="F69" s="98"/>
      <c r="G69" s="98"/>
      <c r="H69" s="98"/>
      <c r="I69" s="98"/>
      <c r="J69" s="98"/>
    </row>
    <row r="70" spans="1:11" s="93" customFormat="1" ht="12.75" customHeight="1" x14ac:dyDescent="0.25">
      <c r="A70" s="221" t="s">
        <v>81</v>
      </c>
      <c r="E70" s="99"/>
      <c r="F70" s="100"/>
      <c r="G70" s="100"/>
      <c r="H70" s="100"/>
      <c r="I70" s="100"/>
      <c r="J70" s="100"/>
    </row>
    <row r="71" spans="1:11" s="93" customFormat="1" ht="15.75" customHeight="1" x14ac:dyDescent="0.25">
      <c r="A71" s="288" t="s">
        <v>1</v>
      </c>
      <c r="B71" s="490" t="s">
        <v>44</v>
      </c>
      <c r="C71" s="491"/>
      <c r="D71" s="492"/>
      <c r="E71" s="490" t="s">
        <v>45</v>
      </c>
      <c r="F71" s="492"/>
      <c r="G71" s="490" t="s">
        <v>46</v>
      </c>
      <c r="H71" s="492"/>
      <c r="I71" s="490" t="s">
        <v>102</v>
      </c>
      <c r="J71" s="492"/>
    </row>
    <row r="72" spans="1:11" s="378" customFormat="1" ht="12.75" x14ac:dyDescent="0.2">
      <c r="A72" s="288">
        <v>1</v>
      </c>
      <c r="B72" s="490">
        <v>2</v>
      </c>
      <c r="C72" s="491"/>
      <c r="D72" s="492"/>
      <c r="E72" s="490">
        <v>3</v>
      </c>
      <c r="F72" s="492"/>
      <c r="G72" s="490">
        <v>4</v>
      </c>
      <c r="H72" s="492"/>
      <c r="I72" s="490">
        <v>5</v>
      </c>
      <c r="J72" s="492"/>
    </row>
    <row r="73" spans="1:11" s="93" customFormat="1" ht="14.25" customHeight="1" x14ac:dyDescent="0.25">
      <c r="A73" s="299"/>
      <c r="B73" s="448" t="s">
        <v>13</v>
      </c>
      <c r="C73" s="449"/>
      <c r="D73" s="450"/>
      <c r="E73" s="451" t="s">
        <v>14</v>
      </c>
      <c r="F73" s="452"/>
      <c r="G73" s="451" t="s">
        <v>14</v>
      </c>
      <c r="H73" s="452"/>
      <c r="I73" s="451"/>
      <c r="J73" s="452"/>
    </row>
    <row r="74" spans="1:11" s="378" customFormat="1" ht="15.75" x14ac:dyDescent="0.25">
      <c r="A74" s="668" t="s">
        <v>91</v>
      </c>
      <c r="B74" s="668"/>
      <c r="C74" s="668"/>
      <c r="D74" s="668"/>
      <c r="E74" s="668"/>
      <c r="F74" s="668"/>
      <c r="G74" s="668"/>
      <c r="H74" s="668"/>
      <c r="I74" s="668"/>
      <c r="J74" s="668"/>
    </row>
    <row r="75" spans="1:11" s="93" customFormat="1" ht="13.5" customHeight="1" x14ac:dyDescent="0.25">
      <c r="A75" s="221" t="s">
        <v>80</v>
      </c>
      <c r="C75" s="97"/>
      <c r="D75" s="97"/>
      <c r="E75" s="97"/>
      <c r="F75" s="98"/>
      <c r="G75" s="98"/>
      <c r="H75" s="98"/>
      <c r="I75" s="98"/>
      <c r="J75" s="98"/>
      <c r="K75" s="125"/>
    </row>
    <row r="76" spans="1:11" s="378" customFormat="1" ht="14.25" customHeight="1" x14ac:dyDescent="0.25">
      <c r="A76" s="221" t="s">
        <v>81</v>
      </c>
      <c r="B76" s="93"/>
      <c r="C76" s="93"/>
      <c r="D76" s="93"/>
      <c r="E76" s="99"/>
      <c r="F76" s="100"/>
      <c r="G76" s="99"/>
      <c r="H76" s="100"/>
      <c r="I76" s="100"/>
      <c r="J76" s="100"/>
    </row>
    <row r="77" spans="1:11" s="378" customFormat="1" ht="25.5" customHeight="1" x14ac:dyDescent="0.2">
      <c r="A77" s="288" t="s">
        <v>1</v>
      </c>
      <c r="B77" s="490" t="s">
        <v>44</v>
      </c>
      <c r="C77" s="491"/>
      <c r="D77" s="492"/>
      <c r="E77" s="490" t="s">
        <v>45</v>
      </c>
      <c r="F77" s="492"/>
      <c r="G77" s="490" t="s">
        <v>46</v>
      </c>
      <c r="H77" s="492"/>
      <c r="I77" s="490" t="s">
        <v>102</v>
      </c>
      <c r="J77" s="492"/>
    </row>
    <row r="78" spans="1:11" s="378" customFormat="1" ht="12" customHeight="1" x14ac:dyDescent="0.2">
      <c r="A78" s="288">
        <v>1</v>
      </c>
      <c r="B78" s="490">
        <v>2</v>
      </c>
      <c r="C78" s="491"/>
      <c r="D78" s="492"/>
      <c r="E78" s="490">
        <v>3</v>
      </c>
      <c r="F78" s="492"/>
      <c r="G78" s="490">
        <v>4</v>
      </c>
      <c r="H78" s="492"/>
      <c r="I78" s="490">
        <v>5</v>
      </c>
      <c r="J78" s="492"/>
    </row>
    <row r="79" spans="1:11" s="93" customFormat="1" x14ac:dyDescent="0.25">
      <c r="A79" s="301"/>
      <c r="B79" s="448" t="s">
        <v>13</v>
      </c>
      <c r="C79" s="449"/>
      <c r="D79" s="450"/>
      <c r="E79" s="451" t="s">
        <v>14</v>
      </c>
      <c r="F79" s="452"/>
      <c r="G79" s="451" t="s">
        <v>14</v>
      </c>
      <c r="H79" s="452"/>
      <c r="I79" s="451"/>
      <c r="J79" s="452"/>
    </row>
    <row r="80" spans="1:11" s="378" customFormat="1" ht="17.25" customHeight="1" x14ac:dyDescent="0.25">
      <c r="A80" s="668" t="s">
        <v>49</v>
      </c>
      <c r="B80" s="668"/>
      <c r="C80" s="668"/>
      <c r="D80" s="668"/>
      <c r="E80" s="668"/>
      <c r="F80" s="668"/>
      <c r="G80" s="668"/>
      <c r="H80" s="668"/>
      <c r="I80" s="668"/>
      <c r="J80" s="668"/>
    </row>
    <row r="81" spans="1:12" s="378" customFormat="1" ht="14.25" customHeight="1" x14ac:dyDescent="0.25">
      <c r="A81" s="92" t="s">
        <v>80</v>
      </c>
      <c r="B81" s="93"/>
      <c r="C81" s="97">
        <v>244</v>
      </c>
      <c r="D81" s="97"/>
      <c r="E81" s="97"/>
      <c r="F81" s="98"/>
      <c r="G81" s="98"/>
      <c r="H81" s="98"/>
      <c r="I81" s="98"/>
      <c r="J81" s="98"/>
    </row>
    <row r="82" spans="1:12" s="93" customFormat="1" ht="15.75" x14ac:dyDescent="0.25">
      <c r="A82" s="92" t="s">
        <v>81</v>
      </c>
      <c r="D82" s="99"/>
      <c r="E82" s="99"/>
      <c r="F82" s="100"/>
      <c r="G82" s="100"/>
      <c r="H82" s="100"/>
      <c r="I82" s="100"/>
      <c r="J82" s="100"/>
    </row>
    <row r="83" spans="1:12" s="93" customFormat="1" ht="15.75" x14ac:dyDescent="0.25">
      <c r="A83" s="434" t="s">
        <v>366</v>
      </c>
      <c r="B83" s="434"/>
      <c r="C83" s="434"/>
      <c r="D83" s="434"/>
      <c r="E83" s="434"/>
      <c r="F83" s="434"/>
      <c r="G83" s="434"/>
      <c r="H83" s="434"/>
      <c r="I83" s="434"/>
      <c r="J83" s="434"/>
    </row>
    <row r="84" spans="1:12" s="93" customFormat="1" ht="24" customHeight="1" x14ac:dyDescent="0.25">
      <c r="A84" s="288" t="s">
        <v>1</v>
      </c>
      <c r="B84" s="490" t="s">
        <v>44</v>
      </c>
      <c r="C84" s="491"/>
      <c r="D84" s="492"/>
      <c r="E84" s="288" t="s">
        <v>55</v>
      </c>
      <c r="F84" s="490" t="s">
        <v>56</v>
      </c>
      <c r="G84" s="492"/>
      <c r="H84" s="288" t="s">
        <v>57</v>
      </c>
      <c r="I84" s="490" t="s">
        <v>104</v>
      </c>
      <c r="J84" s="492"/>
    </row>
    <row r="85" spans="1:12" s="93" customFormat="1" x14ac:dyDescent="0.25">
      <c r="A85" s="288">
        <v>1</v>
      </c>
      <c r="B85" s="490">
        <v>2</v>
      </c>
      <c r="C85" s="491"/>
      <c r="D85" s="492"/>
      <c r="E85" s="288">
        <v>3</v>
      </c>
      <c r="F85" s="490">
        <v>4</v>
      </c>
      <c r="G85" s="492"/>
      <c r="H85" s="288">
        <v>5</v>
      </c>
      <c r="I85" s="490">
        <v>6</v>
      </c>
      <c r="J85" s="492"/>
    </row>
    <row r="86" spans="1:12" s="119" customFormat="1" ht="15" customHeight="1" x14ac:dyDescent="0.25">
      <c r="A86" s="298">
        <v>1</v>
      </c>
      <c r="B86" s="661" t="s">
        <v>381</v>
      </c>
      <c r="C86" s="662"/>
      <c r="D86" s="663"/>
      <c r="E86" s="297"/>
      <c r="F86" s="664">
        <f>G88+G89</f>
        <v>0</v>
      </c>
      <c r="G86" s="665"/>
      <c r="H86" s="123"/>
      <c r="I86" s="666">
        <f>I88+I89+I90+I91+I87</f>
        <v>0</v>
      </c>
      <c r="J86" s="667"/>
    </row>
    <row r="87" spans="1:12" s="119" customFormat="1" x14ac:dyDescent="0.25">
      <c r="A87" s="309" t="s">
        <v>70</v>
      </c>
      <c r="B87" s="614" t="s">
        <v>376</v>
      </c>
      <c r="C87" s="615"/>
      <c r="D87" s="616"/>
      <c r="E87" s="192"/>
      <c r="F87" s="617"/>
      <c r="G87" s="618"/>
      <c r="H87" s="115"/>
      <c r="I87" s="619"/>
      <c r="J87" s="620"/>
    </row>
    <row r="88" spans="1:12" s="119" customFormat="1" ht="15" customHeight="1" x14ac:dyDescent="0.25">
      <c r="A88" s="309">
        <v>2</v>
      </c>
      <c r="B88" s="614" t="s">
        <v>153</v>
      </c>
      <c r="C88" s="615"/>
      <c r="D88" s="616"/>
      <c r="E88" s="192"/>
      <c r="F88" s="617"/>
      <c r="G88" s="618"/>
      <c r="H88" s="115"/>
      <c r="I88" s="619"/>
      <c r="J88" s="620"/>
    </row>
    <row r="89" spans="1:12" s="93" customFormat="1" ht="15.75" customHeight="1" x14ac:dyDescent="0.25">
      <c r="A89" s="309">
        <v>3</v>
      </c>
      <c r="B89" s="614" t="s">
        <v>154</v>
      </c>
      <c r="C89" s="615"/>
      <c r="D89" s="616"/>
      <c r="E89" s="201"/>
      <c r="F89" s="617"/>
      <c r="G89" s="618"/>
      <c r="H89" s="115"/>
      <c r="I89" s="619"/>
      <c r="J89" s="620"/>
    </row>
    <row r="90" spans="1:12" s="93" customFormat="1" ht="15" customHeight="1" x14ac:dyDescent="0.25">
      <c r="A90" s="309">
        <v>4</v>
      </c>
      <c r="B90" s="614" t="s">
        <v>155</v>
      </c>
      <c r="C90" s="615"/>
      <c r="D90" s="616"/>
      <c r="E90" s="171"/>
      <c r="F90" s="617"/>
      <c r="G90" s="618"/>
      <c r="H90" s="115"/>
      <c r="I90" s="619"/>
      <c r="J90" s="620"/>
    </row>
    <row r="91" spans="1:12" s="93" customFormat="1" ht="15" customHeight="1" x14ac:dyDescent="0.25">
      <c r="A91" s="309">
        <v>5</v>
      </c>
      <c r="B91" s="614" t="s">
        <v>152</v>
      </c>
      <c r="C91" s="615"/>
      <c r="D91" s="616"/>
      <c r="E91" s="114"/>
      <c r="F91" s="617"/>
      <c r="G91" s="618"/>
      <c r="H91" s="115"/>
      <c r="I91" s="619"/>
      <c r="J91" s="620"/>
    </row>
    <row r="92" spans="1:12" s="93" customFormat="1" ht="16.5" customHeight="1" x14ac:dyDescent="0.25">
      <c r="A92" s="301"/>
      <c r="B92" s="448" t="s">
        <v>13</v>
      </c>
      <c r="C92" s="449"/>
      <c r="D92" s="450"/>
      <c r="E92" s="299" t="s">
        <v>14</v>
      </c>
      <c r="F92" s="451" t="s">
        <v>14</v>
      </c>
      <c r="G92" s="452"/>
      <c r="H92" s="299" t="s">
        <v>14</v>
      </c>
      <c r="I92" s="621">
        <f>I86</f>
        <v>0</v>
      </c>
      <c r="J92" s="622"/>
      <c r="K92" s="382"/>
      <c r="L92" s="382"/>
    </row>
    <row r="93" spans="1:12" s="119" customFormat="1" ht="15.75" x14ac:dyDescent="0.25">
      <c r="A93" s="433" t="s">
        <v>367</v>
      </c>
      <c r="B93" s="433"/>
      <c r="C93" s="433"/>
      <c r="D93" s="433"/>
      <c r="E93" s="433"/>
      <c r="F93" s="433"/>
      <c r="G93" s="433"/>
      <c r="H93" s="433"/>
      <c r="I93" s="433"/>
      <c r="J93" s="433"/>
    </row>
    <row r="94" spans="1:12" s="93" customFormat="1" ht="25.5" customHeight="1" x14ac:dyDescent="0.25">
      <c r="A94" s="288" t="s">
        <v>1</v>
      </c>
      <c r="B94" s="402" t="s">
        <v>15</v>
      </c>
      <c r="C94" s="402"/>
      <c r="D94" s="402"/>
      <c r="E94" s="288" t="s">
        <v>61</v>
      </c>
      <c r="F94" s="288" t="s">
        <v>62</v>
      </c>
      <c r="G94" s="402" t="s">
        <v>63</v>
      </c>
      <c r="H94" s="402"/>
      <c r="I94" s="402"/>
      <c r="J94" s="402"/>
    </row>
    <row r="95" spans="1:12" s="93" customFormat="1" ht="11.25" customHeight="1" x14ac:dyDescent="0.25">
      <c r="A95" s="288">
        <v>1</v>
      </c>
      <c r="B95" s="402">
        <v>2</v>
      </c>
      <c r="C95" s="402"/>
      <c r="D95" s="402"/>
      <c r="E95" s="288">
        <v>3</v>
      </c>
      <c r="F95" s="288">
        <v>4</v>
      </c>
      <c r="G95" s="490">
        <v>5</v>
      </c>
      <c r="H95" s="491"/>
      <c r="I95" s="491"/>
      <c r="J95" s="492"/>
    </row>
    <row r="96" spans="1:12" s="93" customFormat="1" ht="15" customHeight="1" x14ac:dyDescent="0.25">
      <c r="A96" s="298">
        <v>1</v>
      </c>
      <c r="B96" s="498" t="s">
        <v>382</v>
      </c>
      <c r="C96" s="499"/>
      <c r="D96" s="500"/>
      <c r="E96" s="472"/>
      <c r="F96" s="464"/>
      <c r="G96" s="664">
        <f>SUM(G97:J98)</f>
        <v>32000</v>
      </c>
      <c r="H96" s="463"/>
      <c r="I96" s="463"/>
      <c r="J96" s="464"/>
    </row>
    <row r="97" spans="1:12" s="320" customFormat="1" ht="15.75" customHeight="1" x14ac:dyDescent="0.25">
      <c r="A97" s="369"/>
      <c r="B97" s="606" t="s">
        <v>595</v>
      </c>
      <c r="C97" s="606"/>
      <c r="D97" s="606"/>
      <c r="E97" s="606"/>
      <c r="F97" s="606"/>
      <c r="G97" s="606"/>
      <c r="H97" s="606"/>
      <c r="I97" s="607">
        <f>I98</f>
        <v>0</v>
      </c>
      <c r="J97" s="608"/>
      <c r="K97" s="370"/>
      <c r="L97" s="370"/>
    </row>
    <row r="98" spans="1:12" s="93" customFormat="1" ht="27.75" customHeight="1" x14ac:dyDescent="0.25">
      <c r="A98" s="301" t="s">
        <v>70</v>
      </c>
      <c r="B98" s="455" t="s">
        <v>582</v>
      </c>
      <c r="C98" s="456"/>
      <c r="D98" s="457"/>
      <c r="E98" s="301">
        <v>1</v>
      </c>
      <c r="F98" s="301">
        <v>1</v>
      </c>
      <c r="G98" s="611">
        <v>32000</v>
      </c>
      <c r="H98" s="612"/>
      <c r="I98" s="612"/>
      <c r="J98" s="613"/>
    </row>
    <row r="99" spans="1:12" s="93" customFormat="1" x14ac:dyDescent="0.25">
      <c r="A99" s="301"/>
      <c r="B99" s="507" t="s">
        <v>13</v>
      </c>
      <c r="C99" s="507"/>
      <c r="D99" s="507"/>
      <c r="E99" s="299" t="s">
        <v>14</v>
      </c>
      <c r="F99" s="299" t="s">
        <v>14</v>
      </c>
      <c r="G99" s="625">
        <f>G97+G98</f>
        <v>32000</v>
      </c>
      <c r="H99" s="626"/>
      <c r="I99" s="626"/>
      <c r="J99" s="626"/>
    </row>
    <row r="100" spans="1:12" s="93" customFormat="1" ht="17.25" customHeight="1" x14ac:dyDescent="0.25">
      <c r="A100" s="433" t="s">
        <v>368</v>
      </c>
      <c r="B100" s="433"/>
      <c r="C100" s="433"/>
      <c r="D100" s="433"/>
      <c r="E100" s="433"/>
      <c r="F100" s="433"/>
      <c r="G100" s="433"/>
      <c r="H100" s="433"/>
      <c r="I100" s="433"/>
      <c r="J100" s="433"/>
    </row>
    <row r="101" spans="1:12" s="93" customFormat="1" ht="15" customHeight="1" x14ac:dyDescent="0.25">
      <c r="A101" s="288" t="s">
        <v>1</v>
      </c>
      <c r="B101" s="402" t="s">
        <v>15</v>
      </c>
      <c r="C101" s="402"/>
      <c r="D101" s="402"/>
      <c r="E101" s="490" t="s">
        <v>64</v>
      </c>
      <c r="F101" s="492"/>
      <c r="G101" s="402" t="s">
        <v>65</v>
      </c>
      <c r="H101" s="402"/>
      <c r="I101" s="402"/>
      <c r="J101" s="402"/>
    </row>
    <row r="102" spans="1:12" s="93" customFormat="1" ht="10.5" customHeight="1" x14ac:dyDescent="0.25">
      <c r="A102" s="288">
        <v>1</v>
      </c>
      <c r="B102" s="402">
        <v>2</v>
      </c>
      <c r="C102" s="402"/>
      <c r="D102" s="402"/>
      <c r="E102" s="490">
        <v>3</v>
      </c>
      <c r="F102" s="492"/>
      <c r="G102" s="402">
        <v>4</v>
      </c>
      <c r="H102" s="402"/>
      <c r="I102" s="402"/>
      <c r="J102" s="402"/>
    </row>
    <row r="103" spans="1:12" s="93" customFormat="1" ht="15" customHeight="1" x14ac:dyDescent="0.25">
      <c r="A103" s="298">
        <v>1</v>
      </c>
      <c r="B103" s="661" t="s">
        <v>383</v>
      </c>
      <c r="C103" s="662"/>
      <c r="D103" s="663"/>
      <c r="E103" s="472"/>
      <c r="F103" s="464"/>
      <c r="G103" s="664">
        <f>G117</f>
        <v>292550</v>
      </c>
      <c r="H103" s="463"/>
      <c r="I103" s="463"/>
      <c r="J103" s="464"/>
    </row>
    <row r="104" spans="1:12" s="93" customFormat="1" ht="12.75" customHeight="1" x14ac:dyDescent="0.25">
      <c r="A104" s="375"/>
      <c r="B104" s="656" t="s">
        <v>583</v>
      </c>
      <c r="C104" s="656"/>
      <c r="D104" s="656"/>
      <c r="E104" s="656"/>
      <c r="F104" s="656"/>
      <c r="G104" s="656"/>
      <c r="H104" s="656"/>
      <c r="I104" s="657">
        <f>I105</f>
        <v>40000</v>
      </c>
      <c r="J104" s="658"/>
      <c r="K104" s="381"/>
      <c r="L104" s="381"/>
    </row>
    <row r="105" spans="1:12" s="93" customFormat="1" ht="15" customHeight="1" x14ac:dyDescent="0.25">
      <c r="A105" s="301" t="s">
        <v>70</v>
      </c>
      <c r="B105" s="510" t="s">
        <v>584</v>
      </c>
      <c r="C105" s="510"/>
      <c r="D105" s="510"/>
      <c r="E105" s="496">
        <v>1</v>
      </c>
      <c r="F105" s="497"/>
      <c r="G105" s="676">
        <v>40000</v>
      </c>
      <c r="H105" s="676"/>
      <c r="I105" s="549">
        <f>E105*G105</f>
        <v>40000</v>
      </c>
      <c r="J105" s="550"/>
      <c r="K105" s="381"/>
      <c r="L105" s="381"/>
    </row>
    <row r="106" spans="1:12" s="320" customFormat="1" ht="12" customHeight="1" x14ac:dyDescent="0.25">
      <c r="A106" s="369"/>
      <c r="B106" s="606" t="s">
        <v>585</v>
      </c>
      <c r="C106" s="606"/>
      <c r="D106" s="606"/>
      <c r="E106" s="606"/>
      <c r="F106" s="606"/>
      <c r="G106" s="606"/>
      <c r="H106" s="606"/>
      <c r="I106" s="607">
        <f>SUM(I107:J109)</f>
        <v>91500</v>
      </c>
      <c r="J106" s="608"/>
      <c r="K106" s="370"/>
      <c r="L106" s="370"/>
    </row>
    <row r="107" spans="1:12" s="320" customFormat="1" ht="12.75" customHeight="1" x14ac:dyDescent="0.25">
      <c r="A107" s="291">
        <v>1</v>
      </c>
      <c r="B107" s="534" t="s">
        <v>586</v>
      </c>
      <c r="C107" s="534"/>
      <c r="D107" s="534"/>
      <c r="E107" s="602">
        <v>2</v>
      </c>
      <c r="F107" s="602"/>
      <c r="G107" s="684">
        <f>9000+10000</f>
        <v>19000</v>
      </c>
      <c r="H107" s="684"/>
      <c r="I107" s="603">
        <f>E107*G107</f>
        <v>38000</v>
      </c>
      <c r="J107" s="604"/>
      <c r="K107" s="370"/>
      <c r="L107" s="370"/>
    </row>
    <row r="108" spans="1:12" s="320" customFormat="1" ht="13.5" customHeight="1" x14ac:dyDescent="0.25">
      <c r="A108" s="291">
        <v>2</v>
      </c>
      <c r="B108" s="534" t="s">
        <v>587</v>
      </c>
      <c r="C108" s="534"/>
      <c r="D108" s="534"/>
      <c r="E108" s="602">
        <v>1</v>
      </c>
      <c r="F108" s="602"/>
      <c r="G108" s="684">
        <f>4000+9500</f>
        <v>13500</v>
      </c>
      <c r="H108" s="684"/>
      <c r="I108" s="603">
        <f>E108*G108</f>
        <v>13500</v>
      </c>
      <c r="J108" s="604"/>
      <c r="K108" s="370"/>
      <c r="L108" s="370"/>
    </row>
    <row r="109" spans="1:12" s="320" customFormat="1" ht="13.5" customHeight="1" x14ac:dyDescent="0.25">
      <c r="A109" s="291">
        <v>3</v>
      </c>
      <c r="B109" s="534" t="s">
        <v>588</v>
      </c>
      <c r="C109" s="534"/>
      <c r="D109" s="534"/>
      <c r="E109" s="602">
        <v>2</v>
      </c>
      <c r="F109" s="602"/>
      <c r="G109" s="684">
        <v>20000</v>
      </c>
      <c r="H109" s="684"/>
      <c r="I109" s="603">
        <f>E109*G109</f>
        <v>40000</v>
      </c>
      <c r="J109" s="604"/>
      <c r="K109" s="370"/>
      <c r="L109" s="370"/>
    </row>
    <row r="110" spans="1:12" s="320" customFormat="1" ht="12.75" customHeight="1" x14ac:dyDescent="0.25">
      <c r="A110" s="369"/>
      <c r="B110" s="606" t="s">
        <v>589</v>
      </c>
      <c r="C110" s="606"/>
      <c r="D110" s="606"/>
      <c r="E110" s="606"/>
      <c r="F110" s="606"/>
      <c r="G110" s="606"/>
      <c r="H110" s="606"/>
      <c r="I110" s="607">
        <f>SUM(I111:J113)</f>
        <v>81050</v>
      </c>
      <c r="J110" s="610"/>
      <c r="K110" s="370"/>
      <c r="L110" s="370"/>
    </row>
    <row r="111" spans="1:12" s="320" customFormat="1" ht="12" customHeight="1" x14ac:dyDescent="0.25">
      <c r="A111" s="291">
        <v>1</v>
      </c>
      <c r="B111" s="599" t="s">
        <v>590</v>
      </c>
      <c r="C111" s="600"/>
      <c r="D111" s="601"/>
      <c r="E111" s="670">
        <v>1</v>
      </c>
      <c r="F111" s="671"/>
      <c r="G111" s="672">
        <v>55100</v>
      </c>
      <c r="H111" s="673"/>
      <c r="I111" s="674">
        <f>E111*G111</f>
        <v>55100</v>
      </c>
      <c r="J111" s="675"/>
      <c r="K111" s="370"/>
      <c r="L111" s="370"/>
    </row>
    <row r="112" spans="1:12" s="320" customFormat="1" ht="13.5" customHeight="1" x14ac:dyDescent="0.25">
      <c r="A112" s="291">
        <v>2</v>
      </c>
      <c r="B112" s="599" t="s">
        <v>591</v>
      </c>
      <c r="C112" s="600"/>
      <c r="D112" s="601"/>
      <c r="E112" s="670">
        <v>1</v>
      </c>
      <c r="F112" s="671"/>
      <c r="G112" s="672">
        <v>6300</v>
      </c>
      <c r="H112" s="673"/>
      <c r="I112" s="674">
        <f>E112*G112</f>
        <v>6300</v>
      </c>
      <c r="J112" s="675"/>
      <c r="K112" s="370"/>
      <c r="L112" s="370"/>
    </row>
    <row r="113" spans="1:12" s="320" customFormat="1" ht="12" customHeight="1" x14ac:dyDescent="0.25">
      <c r="A113" s="291">
        <v>3</v>
      </c>
      <c r="B113" s="599" t="s">
        <v>588</v>
      </c>
      <c r="C113" s="600"/>
      <c r="D113" s="601"/>
      <c r="E113" s="670">
        <v>4</v>
      </c>
      <c r="F113" s="671"/>
      <c r="G113" s="672">
        <v>4912.5</v>
      </c>
      <c r="H113" s="673"/>
      <c r="I113" s="674">
        <f t="shared" ref="I113" si="1">E113*G113</f>
        <v>19650</v>
      </c>
      <c r="J113" s="675"/>
      <c r="K113" s="370"/>
      <c r="L113" s="370"/>
    </row>
    <row r="114" spans="1:12" s="320" customFormat="1" ht="12.75" customHeight="1" x14ac:dyDescent="0.25">
      <c r="A114" s="369"/>
      <c r="B114" s="606" t="s">
        <v>592</v>
      </c>
      <c r="C114" s="606"/>
      <c r="D114" s="606"/>
      <c r="E114" s="606"/>
      <c r="F114" s="606"/>
      <c r="G114" s="606"/>
      <c r="H114" s="606"/>
      <c r="I114" s="607">
        <f>I115+I116</f>
        <v>80000</v>
      </c>
      <c r="J114" s="608"/>
      <c r="K114" s="370"/>
      <c r="L114" s="370"/>
    </row>
    <row r="115" spans="1:12" s="320" customFormat="1" ht="12.75" customHeight="1" x14ac:dyDescent="0.25">
      <c r="A115" s="291">
        <v>1</v>
      </c>
      <c r="B115" s="534" t="s">
        <v>593</v>
      </c>
      <c r="C115" s="534"/>
      <c r="D115" s="534"/>
      <c r="E115" s="482">
        <v>1</v>
      </c>
      <c r="F115" s="483"/>
      <c r="G115" s="605">
        <v>57000</v>
      </c>
      <c r="H115" s="605"/>
      <c r="I115" s="603">
        <v>57000</v>
      </c>
      <c r="J115" s="604"/>
      <c r="K115" s="370"/>
      <c r="L115" s="370"/>
    </row>
    <row r="116" spans="1:12" s="320" customFormat="1" ht="13.5" customHeight="1" x14ac:dyDescent="0.25">
      <c r="A116" s="291">
        <v>2</v>
      </c>
      <c r="B116" s="534" t="s">
        <v>594</v>
      </c>
      <c r="C116" s="534"/>
      <c r="D116" s="534"/>
      <c r="E116" s="482">
        <v>1</v>
      </c>
      <c r="F116" s="483"/>
      <c r="G116" s="605">
        <v>23000</v>
      </c>
      <c r="H116" s="605"/>
      <c r="I116" s="603">
        <v>23000</v>
      </c>
      <c r="J116" s="604"/>
      <c r="K116" s="370"/>
      <c r="L116" s="370"/>
    </row>
    <row r="117" spans="1:12" s="320" customFormat="1" ht="15.75" x14ac:dyDescent="0.25">
      <c r="A117" s="332"/>
      <c r="B117" s="685" t="s">
        <v>13</v>
      </c>
      <c r="C117" s="685"/>
      <c r="D117" s="685"/>
      <c r="E117" s="576" t="s">
        <v>14</v>
      </c>
      <c r="F117" s="577"/>
      <c r="G117" s="536">
        <f>I106+I110+I114+I104</f>
        <v>292550</v>
      </c>
      <c r="H117" s="537"/>
      <c r="I117" s="537"/>
      <c r="J117" s="537"/>
      <c r="K117" s="384"/>
      <c r="L117" s="384">
        <f>SUM(L103:L104)</f>
        <v>0</v>
      </c>
    </row>
    <row r="118" spans="1:12" s="93" customFormat="1" ht="21.75" customHeight="1" x14ac:dyDescent="0.25">
      <c r="A118" s="569" t="s">
        <v>389</v>
      </c>
      <c r="B118" s="569"/>
      <c r="C118" s="569"/>
      <c r="D118" s="569"/>
      <c r="E118" s="569"/>
      <c r="F118" s="569"/>
      <c r="G118" s="569"/>
      <c r="H118" s="569"/>
      <c r="I118" s="569"/>
      <c r="J118" s="569"/>
    </row>
    <row r="119" spans="1:12" s="93" customFormat="1" ht="21.75" customHeight="1" x14ac:dyDescent="0.25">
      <c r="A119" s="288" t="s">
        <v>1</v>
      </c>
      <c r="B119" s="402" t="s">
        <v>15</v>
      </c>
      <c r="C119" s="402"/>
      <c r="D119" s="402"/>
      <c r="E119" s="490" t="s">
        <v>64</v>
      </c>
      <c r="F119" s="492"/>
      <c r="G119" s="402" t="s">
        <v>65</v>
      </c>
      <c r="H119" s="402"/>
      <c r="I119" s="402"/>
      <c r="J119" s="402"/>
    </row>
    <row r="120" spans="1:12" s="93" customFormat="1" ht="15" customHeight="1" x14ac:dyDescent="0.25">
      <c r="A120" s="288">
        <v>1</v>
      </c>
      <c r="B120" s="402">
        <v>2</v>
      </c>
      <c r="C120" s="402"/>
      <c r="D120" s="402"/>
      <c r="E120" s="490">
        <v>3</v>
      </c>
      <c r="F120" s="492"/>
      <c r="G120" s="402">
        <v>4</v>
      </c>
      <c r="H120" s="402"/>
      <c r="I120" s="402"/>
      <c r="J120" s="402"/>
    </row>
    <row r="121" spans="1:12" s="93" customFormat="1" ht="14.25" customHeight="1" x14ac:dyDescent="0.25">
      <c r="A121" s="298">
        <v>1</v>
      </c>
      <c r="B121" s="661" t="s">
        <v>383</v>
      </c>
      <c r="C121" s="662"/>
      <c r="D121" s="663"/>
      <c r="E121" s="472"/>
      <c r="F121" s="464"/>
      <c r="G121" s="664">
        <f>G123</f>
        <v>0</v>
      </c>
      <c r="H121" s="463"/>
      <c r="I121" s="463"/>
      <c r="J121" s="464"/>
    </row>
    <row r="122" spans="1:12" s="93" customFormat="1" ht="13.5" customHeight="1" x14ac:dyDescent="0.25">
      <c r="A122" s="301" t="s">
        <v>70</v>
      </c>
      <c r="B122" s="551"/>
      <c r="C122" s="551"/>
      <c r="D122" s="551"/>
      <c r="E122" s="301"/>
      <c r="F122" s="301"/>
      <c r="G122" s="611"/>
      <c r="H122" s="612"/>
      <c r="I122" s="612"/>
      <c r="J122" s="613"/>
    </row>
    <row r="123" spans="1:12" s="93" customFormat="1" ht="14.25" customHeight="1" x14ac:dyDescent="0.25">
      <c r="A123" s="106"/>
      <c r="B123" s="586" t="s">
        <v>13</v>
      </c>
      <c r="C123" s="586"/>
      <c r="D123" s="586"/>
      <c r="E123" s="172" t="s">
        <v>14</v>
      </c>
      <c r="F123" s="172" t="s">
        <v>14</v>
      </c>
      <c r="G123" s="625">
        <f>SUM(G122:G122)</f>
        <v>0</v>
      </c>
      <c r="H123" s="626"/>
      <c r="I123" s="626"/>
      <c r="J123" s="626"/>
    </row>
    <row r="124" spans="1:12" s="121" customFormat="1" ht="18.75" customHeight="1" x14ac:dyDescent="0.25">
      <c r="A124" s="433" t="s">
        <v>387</v>
      </c>
      <c r="B124" s="433"/>
      <c r="C124" s="433"/>
      <c r="D124" s="433"/>
      <c r="E124" s="433"/>
      <c r="F124" s="433"/>
      <c r="G124" s="433"/>
      <c r="H124" s="433"/>
      <c r="I124" s="433"/>
      <c r="J124" s="433"/>
    </row>
    <row r="125" spans="1:12" s="121" customFormat="1" ht="15.75" customHeight="1" x14ac:dyDescent="0.25">
      <c r="A125" s="288" t="s">
        <v>1</v>
      </c>
      <c r="B125" s="402" t="s">
        <v>15</v>
      </c>
      <c r="C125" s="402"/>
      <c r="D125" s="402"/>
      <c r="E125" s="402" t="s">
        <v>58</v>
      </c>
      <c r="F125" s="402"/>
      <c r="G125" s="402" t="s">
        <v>66</v>
      </c>
      <c r="H125" s="402"/>
      <c r="I125" s="490" t="s">
        <v>264</v>
      </c>
      <c r="J125" s="492"/>
    </row>
    <row r="126" spans="1:12" s="121" customFormat="1" ht="12" customHeight="1" x14ac:dyDescent="0.25">
      <c r="A126" s="288">
        <v>1</v>
      </c>
      <c r="B126" s="402">
        <v>2</v>
      </c>
      <c r="C126" s="402"/>
      <c r="D126" s="402"/>
      <c r="E126" s="402">
        <v>3</v>
      </c>
      <c r="F126" s="402"/>
      <c r="G126" s="402">
        <v>4</v>
      </c>
      <c r="H126" s="402"/>
      <c r="I126" s="402">
        <v>5</v>
      </c>
      <c r="J126" s="402"/>
    </row>
    <row r="127" spans="1:12" s="119" customFormat="1" ht="18" customHeight="1" x14ac:dyDescent="0.25">
      <c r="A127" s="298">
        <v>1</v>
      </c>
      <c r="B127" s="661" t="s">
        <v>384</v>
      </c>
      <c r="C127" s="662"/>
      <c r="D127" s="663"/>
      <c r="E127" s="123"/>
      <c r="F127" s="122"/>
      <c r="G127" s="522"/>
      <c r="H127" s="522"/>
      <c r="I127" s="563">
        <f>I135</f>
        <v>65150</v>
      </c>
      <c r="J127" s="564"/>
    </row>
    <row r="128" spans="1:12" s="320" customFormat="1" ht="15" customHeight="1" x14ac:dyDescent="0.25">
      <c r="A128" s="369"/>
      <c r="B128" s="609" t="s">
        <v>583</v>
      </c>
      <c r="C128" s="606"/>
      <c r="D128" s="606"/>
      <c r="E128" s="606"/>
      <c r="F128" s="606"/>
      <c r="G128" s="606"/>
      <c r="H128" s="608"/>
      <c r="I128" s="607">
        <f>I129</f>
        <v>4000</v>
      </c>
      <c r="J128" s="610"/>
      <c r="K128" s="368"/>
    </row>
    <row r="129" spans="1:12" s="320" customFormat="1" ht="16.5" customHeight="1" x14ac:dyDescent="0.25">
      <c r="A129" s="291">
        <v>1</v>
      </c>
      <c r="B129" s="599" t="s">
        <v>596</v>
      </c>
      <c r="C129" s="600"/>
      <c r="D129" s="601"/>
      <c r="E129" s="670">
        <v>1</v>
      </c>
      <c r="F129" s="671"/>
      <c r="G129" s="672">
        <v>4000</v>
      </c>
      <c r="H129" s="673"/>
      <c r="I129" s="674">
        <f>E129*G129</f>
        <v>4000</v>
      </c>
      <c r="J129" s="675"/>
      <c r="K129" s="368"/>
    </row>
    <row r="130" spans="1:12" s="320" customFormat="1" ht="16.5" customHeight="1" x14ac:dyDescent="0.25">
      <c r="A130" s="369"/>
      <c r="B130" s="609" t="s">
        <v>597</v>
      </c>
      <c r="C130" s="606"/>
      <c r="D130" s="606"/>
      <c r="E130" s="606"/>
      <c r="F130" s="606"/>
      <c r="G130" s="606"/>
      <c r="H130" s="608"/>
      <c r="I130" s="607">
        <f>SUM(I131:J131)</f>
        <v>29000</v>
      </c>
      <c r="J130" s="610"/>
      <c r="K130" s="368"/>
    </row>
    <row r="131" spans="1:12" s="320" customFormat="1" ht="16.5" customHeight="1" x14ac:dyDescent="0.25">
      <c r="A131" s="291">
        <v>1</v>
      </c>
      <c r="B131" s="599" t="s">
        <v>598</v>
      </c>
      <c r="C131" s="600"/>
      <c r="D131" s="601"/>
      <c r="E131" s="670">
        <v>1</v>
      </c>
      <c r="F131" s="671"/>
      <c r="G131" s="672">
        <v>29000</v>
      </c>
      <c r="H131" s="673"/>
      <c r="I131" s="674">
        <f>G131</f>
        <v>29000</v>
      </c>
      <c r="J131" s="675"/>
      <c r="K131" s="368"/>
    </row>
    <row r="132" spans="1:12" s="320" customFormat="1" ht="16.5" customHeight="1" x14ac:dyDescent="0.25">
      <c r="A132" s="369"/>
      <c r="B132" s="609" t="s">
        <v>589</v>
      </c>
      <c r="C132" s="606"/>
      <c r="D132" s="606"/>
      <c r="E132" s="606"/>
      <c r="F132" s="606"/>
      <c r="G132" s="606"/>
      <c r="H132" s="608"/>
      <c r="I132" s="607">
        <f>SUM(I133:J134)</f>
        <v>32150</v>
      </c>
      <c r="J132" s="610"/>
      <c r="K132" s="368"/>
    </row>
    <row r="133" spans="1:12" s="320" customFormat="1" ht="16.5" customHeight="1" x14ac:dyDescent="0.25">
      <c r="A133" s="291">
        <v>1</v>
      </c>
      <c r="B133" s="599" t="s">
        <v>596</v>
      </c>
      <c r="C133" s="600"/>
      <c r="D133" s="601"/>
      <c r="E133" s="670">
        <v>1</v>
      </c>
      <c r="F133" s="671"/>
      <c r="G133" s="672">
        <v>12150</v>
      </c>
      <c r="H133" s="673"/>
      <c r="I133" s="674">
        <f>G133</f>
        <v>12150</v>
      </c>
      <c r="J133" s="675"/>
      <c r="K133" s="368"/>
    </row>
    <row r="134" spans="1:12" s="320" customFormat="1" ht="16.5" customHeight="1" x14ac:dyDescent="0.25">
      <c r="A134" s="291">
        <v>2</v>
      </c>
      <c r="B134" s="599" t="s">
        <v>599</v>
      </c>
      <c r="C134" s="600"/>
      <c r="D134" s="601"/>
      <c r="E134" s="670">
        <v>1</v>
      </c>
      <c r="F134" s="671"/>
      <c r="G134" s="672">
        <v>20000</v>
      </c>
      <c r="H134" s="673"/>
      <c r="I134" s="674">
        <f>G134</f>
        <v>20000</v>
      </c>
      <c r="J134" s="675"/>
      <c r="K134" s="368"/>
    </row>
    <row r="135" spans="1:12" s="320" customFormat="1" x14ac:dyDescent="0.25">
      <c r="A135" s="291"/>
      <c r="B135" s="535" t="s">
        <v>13</v>
      </c>
      <c r="C135" s="535"/>
      <c r="D135" s="535"/>
      <c r="E135" s="686"/>
      <c r="F135" s="686"/>
      <c r="G135" s="418" t="s">
        <v>14</v>
      </c>
      <c r="H135" s="418"/>
      <c r="I135" s="477">
        <f>I128+I130+I132</f>
        <v>65150</v>
      </c>
      <c r="J135" s="478"/>
    </row>
    <row r="136" spans="1:12" s="93" customFormat="1" ht="18" customHeight="1" x14ac:dyDescent="0.25">
      <c r="A136" s="489" t="s">
        <v>388</v>
      </c>
      <c r="B136" s="489"/>
      <c r="C136" s="489"/>
      <c r="D136" s="489"/>
      <c r="E136" s="489"/>
      <c r="F136" s="489"/>
      <c r="G136" s="489"/>
      <c r="H136" s="489"/>
      <c r="I136" s="489"/>
      <c r="J136" s="489"/>
    </row>
    <row r="137" spans="1:12" s="93" customFormat="1" ht="15.75" customHeight="1" x14ac:dyDescent="0.25">
      <c r="A137" s="669" t="s">
        <v>369</v>
      </c>
      <c r="B137" s="669"/>
      <c r="C137" s="669"/>
      <c r="D137" s="669"/>
      <c r="E137" s="669"/>
      <c r="F137" s="669"/>
      <c r="G137" s="669"/>
      <c r="H137" s="669"/>
      <c r="I137" s="669"/>
      <c r="J137" s="669"/>
    </row>
    <row r="138" spans="1:12" s="93" customFormat="1" ht="15" customHeight="1" x14ac:dyDescent="0.25">
      <c r="A138" s="288" t="s">
        <v>1</v>
      </c>
      <c r="B138" s="402" t="s">
        <v>15</v>
      </c>
      <c r="C138" s="402"/>
      <c r="D138" s="402"/>
      <c r="E138" s="402" t="s">
        <v>58</v>
      </c>
      <c r="F138" s="402"/>
      <c r="G138" s="402" t="s">
        <v>66</v>
      </c>
      <c r="H138" s="402"/>
      <c r="I138" s="490" t="s">
        <v>264</v>
      </c>
      <c r="J138" s="492"/>
    </row>
    <row r="139" spans="1:12" s="93" customFormat="1" x14ac:dyDescent="0.25">
      <c r="A139" s="288">
        <v>1</v>
      </c>
      <c r="B139" s="402">
        <v>2</v>
      </c>
      <c r="C139" s="402"/>
      <c r="D139" s="402"/>
      <c r="E139" s="402">
        <v>3</v>
      </c>
      <c r="F139" s="402"/>
      <c r="G139" s="402">
        <v>4</v>
      </c>
      <c r="H139" s="402"/>
      <c r="I139" s="402">
        <v>5</v>
      </c>
      <c r="J139" s="402"/>
      <c r="K139" s="208"/>
      <c r="L139" s="385"/>
    </row>
    <row r="140" spans="1:12" s="320" customFormat="1" ht="15" customHeight="1" x14ac:dyDescent="0.25">
      <c r="A140" s="369"/>
      <c r="B140" s="609" t="s">
        <v>583</v>
      </c>
      <c r="C140" s="606"/>
      <c r="D140" s="606"/>
      <c r="E140" s="606"/>
      <c r="F140" s="606"/>
      <c r="G140" s="606"/>
      <c r="H140" s="608"/>
      <c r="I140" s="607">
        <f>I141</f>
        <v>23000</v>
      </c>
      <c r="J140" s="610"/>
      <c r="K140" s="368"/>
    </row>
    <row r="141" spans="1:12" s="93" customFormat="1" x14ac:dyDescent="0.25">
      <c r="A141" s="301">
        <v>1</v>
      </c>
      <c r="B141" s="455" t="s">
        <v>650</v>
      </c>
      <c r="C141" s="456"/>
      <c r="D141" s="457"/>
      <c r="E141" s="680">
        <v>100</v>
      </c>
      <c r="F141" s="681"/>
      <c r="G141" s="552">
        <v>230</v>
      </c>
      <c r="H141" s="552"/>
      <c r="I141" s="678">
        <f>E141*G141</f>
        <v>23000</v>
      </c>
      <c r="J141" s="545"/>
    </row>
    <row r="142" spans="1:12" s="320" customFormat="1" ht="15.75" customHeight="1" x14ac:dyDescent="0.25">
      <c r="A142" s="369"/>
      <c r="B142" s="606" t="s">
        <v>585</v>
      </c>
      <c r="C142" s="606"/>
      <c r="D142" s="606"/>
      <c r="E142" s="606"/>
      <c r="F142" s="606"/>
      <c r="G142" s="606"/>
      <c r="H142" s="606"/>
      <c r="I142" s="607">
        <f>I143</f>
        <v>12000</v>
      </c>
      <c r="J142" s="608"/>
      <c r="K142" s="370"/>
      <c r="L142" s="370"/>
    </row>
    <row r="143" spans="1:12" s="93" customFormat="1" x14ac:dyDescent="0.25">
      <c r="A143" s="301">
        <v>2</v>
      </c>
      <c r="B143" s="455" t="s">
        <v>651</v>
      </c>
      <c r="C143" s="456"/>
      <c r="D143" s="457"/>
      <c r="E143" s="680">
        <v>20</v>
      </c>
      <c r="F143" s="681"/>
      <c r="G143" s="517">
        <v>600</v>
      </c>
      <c r="H143" s="518"/>
      <c r="I143" s="682">
        <f>E143*G143</f>
        <v>12000</v>
      </c>
      <c r="J143" s="683"/>
    </row>
    <row r="144" spans="1:12" s="93" customFormat="1" x14ac:dyDescent="0.25">
      <c r="A144" s="301"/>
      <c r="B144" s="507" t="s">
        <v>13</v>
      </c>
      <c r="C144" s="507"/>
      <c r="D144" s="507"/>
      <c r="E144" s="590"/>
      <c r="F144" s="590"/>
      <c r="G144" s="508" t="s">
        <v>14</v>
      </c>
      <c r="H144" s="508"/>
      <c r="I144" s="677">
        <f>I140+I142</f>
        <v>35000</v>
      </c>
      <c r="J144" s="677"/>
    </row>
    <row r="145" spans="1:12" s="93" customFormat="1" ht="15.75" x14ac:dyDescent="0.25">
      <c r="A145" s="669" t="s">
        <v>365</v>
      </c>
      <c r="B145" s="669"/>
      <c r="C145" s="669"/>
      <c r="D145" s="669"/>
      <c r="E145" s="669"/>
      <c r="F145" s="669"/>
      <c r="G145" s="669"/>
      <c r="H145" s="669"/>
      <c r="I145" s="669"/>
      <c r="J145" s="669"/>
    </row>
    <row r="146" spans="1:12" s="93" customFormat="1" ht="25.5" x14ac:dyDescent="0.25">
      <c r="A146" s="288" t="s">
        <v>1</v>
      </c>
      <c r="B146" s="402" t="s">
        <v>15</v>
      </c>
      <c r="C146" s="402"/>
      <c r="D146" s="402"/>
      <c r="E146" s="402" t="s">
        <v>58</v>
      </c>
      <c r="F146" s="402"/>
      <c r="G146" s="402" t="s">
        <v>66</v>
      </c>
      <c r="H146" s="402"/>
      <c r="I146" s="490" t="s">
        <v>264</v>
      </c>
      <c r="J146" s="492"/>
    </row>
    <row r="147" spans="1:12" s="93" customFormat="1" x14ac:dyDescent="0.25">
      <c r="A147" s="288">
        <v>1</v>
      </c>
      <c r="B147" s="402">
        <v>2</v>
      </c>
      <c r="C147" s="402"/>
      <c r="D147" s="402"/>
      <c r="E147" s="402">
        <v>3</v>
      </c>
      <c r="F147" s="402"/>
      <c r="G147" s="402">
        <v>4</v>
      </c>
      <c r="H147" s="402"/>
      <c r="I147" s="402">
        <v>5</v>
      </c>
      <c r="J147" s="402"/>
    </row>
    <row r="148" spans="1:12" s="320" customFormat="1" ht="15" customHeight="1" x14ac:dyDescent="0.25">
      <c r="A148" s="369"/>
      <c r="B148" s="609" t="s">
        <v>583</v>
      </c>
      <c r="C148" s="606"/>
      <c r="D148" s="606"/>
      <c r="E148" s="606"/>
      <c r="F148" s="606"/>
      <c r="G148" s="606"/>
      <c r="H148" s="608"/>
      <c r="I148" s="607">
        <f>I149+I150+I151+I152+I153+I154+I155+I156+I157+I158+I159</f>
        <v>31310</v>
      </c>
      <c r="J148" s="610"/>
      <c r="K148" s="368"/>
    </row>
    <row r="149" spans="1:12" s="320" customFormat="1" x14ac:dyDescent="0.25">
      <c r="A149" s="291">
        <v>1</v>
      </c>
      <c r="B149" s="534" t="s">
        <v>653</v>
      </c>
      <c r="C149" s="534"/>
      <c r="D149" s="534"/>
      <c r="E149" s="602">
        <v>100</v>
      </c>
      <c r="F149" s="602"/>
      <c r="G149" s="417">
        <v>15</v>
      </c>
      <c r="H149" s="417"/>
      <c r="I149" s="603">
        <f t="shared" ref="I149:I159" si="2">E149*G149</f>
        <v>1500</v>
      </c>
      <c r="J149" s="604"/>
      <c r="K149" s="368"/>
    </row>
    <row r="150" spans="1:12" s="320" customFormat="1" x14ac:dyDescent="0.25">
      <c r="A150" s="291">
        <v>2</v>
      </c>
      <c r="B150" s="534" t="s">
        <v>654</v>
      </c>
      <c r="C150" s="534"/>
      <c r="D150" s="534"/>
      <c r="E150" s="602">
        <v>1</v>
      </c>
      <c r="F150" s="602"/>
      <c r="G150" s="417">
        <v>1400</v>
      </c>
      <c r="H150" s="417"/>
      <c r="I150" s="603">
        <f t="shared" si="2"/>
        <v>1400</v>
      </c>
      <c r="J150" s="604"/>
      <c r="K150" s="368"/>
    </row>
    <row r="151" spans="1:12" s="320" customFormat="1" x14ac:dyDescent="0.25">
      <c r="A151" s="291">
        <v>3</v>
      </c>
      <c r="B151" s="534" t="s">
        <v>655</v>
      </c>
      <c r="C151" s="534"/>
      <c r="D151" s="534"/>
      <c r="E151" s="602">
        <v>4</v>
      </c>
      <c r="F151" s="602"/>
      <c r="G151" s="417">
        <v>450</v>
      </c>
      <c r="H151" s="417"/>
      <c r="I151" s="603">
        <f t="shared" si="2"/>
        <v>1800</v>
      </c>
      <c r="J151" s="604"/>
      <c r="K151" s="368"/>
    </row>
    <row r="152" spans="1:12" s="320" customFormat="1" x14ac:dyDescent="0.25">
      <c r="A152" s="291">
        <v>4</v>
      </c>
      <c r="B152" s="534" t="s">
        <v>656</v>
      </c>
      <c r="C152" s="534"/>
      <c r="D152" s="534"/>
      <c r="E152" s="602">
        <v>100</v>
      </c>
      <c r="F152" s="602"/>
      <c r="G152" s="417">
        <v>45</v>
      </c>
      <c r="H152" s="417"/>
      <c r="I152" s="603">
        <f t="shared" si="2"/>
        <v>4500</v>
      </c>
      <c r="J152" s="604"/>
      <c r="K152" s="368"/>
    </row>
    <row r="153" spans="1:12" s="320" customFormat="1" x14ac:dyDescent="0.25">
      <c r="A153" s="291">
        <v>5</v>
      </c>
      <c r="B153" s="534" t="s">
        <v>657</v>
      </c>
      <c r="C153" s="534"/>
      <c r="D153" s="534"/>
      <c r="E153" s="602">
        <v>100</v>
      </c>
      <c r="F153" s="602"/>
      <c r="G153" s="417">
        <v>42</v>
      </c>
      <c r="H153" s="417"/>
      <c r="I153" s="603">
        <f t="shared" si="2"/>
        <v>4200</v>
      </c>
      <c r="J153" s="604"/>
      <c r="K153" s="368"/>
    </row>
    <row r="154" spans="1:12" s="320" customFormat="1" x14ac:dyDescent="0.25">
      <c r="A154" s="291">
        <v>6</v>
      </c>
      <c r="B154" s="534" t="s">
        <v>662</v>
      </c>
      <c r="C154" s="534"/>
      <c r="D154" s="534"/>
      <c r="E154" s="602">
        <v>1</v>
      </c>
      <c r="F154" s="602"/>
      <c r="G154" s="417">
        <v>930</v>
      </c>
      <c r="H154" s="417"/>
      <c r="I154" s="603">
        <f t="shared" si="2"/>
        <v>930</v>
      </c>
      <c r="J154" s="604"/>
      <c r="K154" s="368"/>
    </row>
    <row r="155" spans="1:12" s="320" customFormat="1" x14ac:dyDescent="0.25">
      <c r="A155" s="291">
        <v>7</v>
      </c>
      <c r="B155" s="534" t="s">
        <v>663</v>
      </c>
      <c r="C155" s="534"/>
      <c r="D155" s="534"/>
      <c r="E155" s="602">
        <v>1</v>
      </c>
      <c r="F155" s="602"/>
      <c r="G155" s="417">
        <v>280</v>
      </c>
      <c r="H155" s="417"/>
      <c r="I155" s="603">
        <f t="shared" si="2"/>
        <v>280</v>
      </c>
      <c r="J155" s="604"/>
      <c r="K155" s="368"/>
    </row>
    <row r="156" spans="1:12" s="320" customFormat="1" x14ac:dyDescent="0.25">
      <c r="A156" s="291">
        <v>8</v>
      </c>
      <c r="B156" s="534" t="s">
        <v>664</v>
      </c>
      <c r="C156" s="534"/>
      <c r="D156" s="534"/>
      <c r="E156" s="602">
        <v>10</v>
      </c>
      <c r="F156" s="602"/>
      <c r="G156" s="417">
        <v>30</v>
      </c>
      <c r="H156" s="417"/>
      <c r="I156" s="603">
        <f t="shared" si="2"/>
        <v>300</v>
      </c>
      <c r="J156" s="604"/>
      <c r="K156" s="368"/>
    </row>
    <row r="157" spans="1:12" s="320" customFormat="1" x14ac:dyDescent="0.25">
      <c r="A157" s="291">
        <v>9</v>
      </c>
      <c r="B157" s="534" t="s">
        <v>665</v>
      </c>
      <c r="C157" s="534"/>
      <c r="D157" s="534"/>
      <c r="E157" s="602">
        <v>10</v>
      </c>
      <c r="F157" s="602"/>
      <c r="G157" s="417">
        <v>60</v>
      </c>
      <c r="H157" s="417"/>
      <c r="I157" s="603">
        <f t="shared" si="2"/>
        <v>600</v>
      </c>
      <c r="J157" s="604"/>
      <c r="K157" s="368"/>
    </row>
    <row r="158" spans="1:12" s="320" customFormat="1" x14ac:dyDescent="0.25">
      <c r="A158" s="291">
        <v>10</v>
      </c>
      <c r="B158" s="534" t="s">
        <v>666</v>
      </c>
      <c r="C158" s="534"/>
      <c r="D158" s="534"/>
      <c r="E158" s="602">
        <v>1</v>
      </c>
      <c r="F158" s="602"/>
      <c r="G158" s="417">
        <v>600</v>
      </c>
      <c r="H158" s="417"/>
      <c r="I158" s="603">
        <f t="shared" si="2"/>
        <v>600</v>
      </c>
      <c r="J158" s="604"/>
      <c r="K158" s="368"/>
    </row>
    <row r="159" spans="1:12" s="320" customFormat="1" x14ac:dyDescent="0.25">
      <c r="A159" s="291">
        <v>11</v>
      </c>
      <c r="B159" s="534" t="s">
        <v>667</v>
      </c>
      <c r="C159" s="534"/>
      <c r="D159" s="534"/>
      <c r="E159" s="602">
        <v>2</v>
      </c>
      <c r="F159" s="602"/>
      <c r="G159" s="417">
        <v>7600</v>
      </c>
      <c r="H159" s="417"/>
      <c r="I159" s="603">
        <f t="shared" si="2"/>
        <v>15200</v>
      </c>
      <c r="J159" s="604"/>
      <c r="K159" s="368"/>
    </row>
    <row r="160" spans="1:12" s="320" customFormat="1" ht="15" customHeight="1" x14ac:dyDescent="0.25">
      <c r="A160" s="369"/>
      <c r="B160" s="606" t="s">
        <v>589</v>
      </c>
      <c r="C160" s="606"/>
      <c r="D160" s="606"/>
      <c r="E160" s="606"/>
      <c r="F160" s="606"/>
      <c r="G160" s="606"/>
      <c r="H160" s="606"/>
      <c r="I160" s="607">
        <f>I161+I162+I163+I164+I165+I166+I167+I168+I169+I170+I171</f>
        <v>40700</v>
      </c>
      <c r="J160" s="608"/>
      <c r="K160" s="370"/>
      <c r="L160" s="370"/>
    </row>
    <row r="161" spans="1:11" s="320" customFormat="1" x14ac:dyDescent="0.25">
      <c r="A161" s="291">
        <v>1</v>
      </c>
      <c r="B161" s="534" t="s">
        <v>657</v>
      </c>
      <c r="C161" s="534"/>
      <c r="D161" s="534"/>
      <c r="E161" s="602">
        <v>150</v>
      </c>
      <c r="F161" s="602"/>
      <c r="G161" s="417">
        <v>43</v>
      </c>
      <c r="H161" s="417"/>
      <c r="I161" s="603">
        <f t="shared" ref="I161:I171" si="3">E161*G161</f>
        <v>6450</v>
      </c>
      <c r="J161" s="604"/>
      <c r="K161" s="368"/>
    </row>
    <row r="162" spans="1:11" s="320" customFormat="1" x14ac:dyDescent="0.25">
      <c r="A162" s="291">
        <v>2</v>
      </c>
      <c r="B162" s="534" t="s">
        <v>671</v>
      </c>
      <c r="C162" s="534"/>
      <c r="D162" s="534"/>
      <c r="E162" s="602">
        <v>6</v>
      </c>
      <c r="F162" s="602"/>
      <c r="G162" s="417">
        <v>450</v>
      </c>
      <c r="H162" s="417"/>
      <c r="I162" s="603">
        <f t="shared" si="3"/>
        <v>2700</v>
      </c>
      <c r="J162" s="604"/>
      <c r="K162" s="368"/>
    </row>
    <row r="163" spans="1:11" s="320" customFormat="1" x14ac:dyDescent="0.25">
      <c r="A163" s="291">
        <v>3</v>
      </c>
      <c r="B163" s="534" t="s">
        <v>662</v>
      </c>
      <c r="C163" s="534"/>
      <c r="D163" s="534"/>
      <c r="E163" s="602">
        <v>4</v>
      </c>
      <c r="F163" s="602"/>
      <c r="G163" s="417">
        <v>950</v>
      </c>
      <c r="H163" s="417"/>
      <c r="I163" s="603">
        <f t="shared" si="3"/>
        <v>3800</v>
      </c>
      <c r="J163" s="604"/>
      <c r="K163" s="368"/>
    </row>
    <row r="164" spans="1:11" s="320" customFormat="1" x14ac:dyDescent="0.25">
      <c r="A164" s="291">
        <v>4</v>
      </c>
      <c r="B164" s="534" t="s">
        <v>672</v>
      </c>
      <c r="C164" s="534"/>
      <c r="D164" s="534"/>
      <c r="E164" s="602">
        <v>2</v>
      </c>
      <c r="F164" s="602"/>
      <c r="G164" s="417">
        <v>660</v>
      </c>
      <c r="H164" s="417"/>
      <c r="I164" s="603">
        <f t="shared" si="3"/>
        <v>1320</v>
      </c>
      <c r="J164" s="604"/>
      <c r="K164" s="368"/>
    </row>
    <row r="165" spans="1:11" s="320" customFormat="1" x14ac:dyDescent="0.25">
      <c r="A165" s="291">
        <v>5</v>
      </c>
      <c r="B165" s="534" t="s">
        <v>663</v>
      </c>
      <c r="C165" s="534"/>
      <c r="D165" s="534"/>
      <c r="E165" s="602">
        <v>10</v>
      </c>
      <c r="F165" s="602"/>
      <c r="G165" s="417">
        <v>350</v>
      </c>
      <c r="H165" s="417"/>
      <c r="I165" s="603">
        <f t="shared" si="3"/>
        <v>3500</v>
      </c>
      <c r="J165" s="604"/>
      <c r="K165" s="368"/>
    </row>
    <row r="166" spans="1:11" s="320" customFormat="1" x14ac:dyDescent="0.25">
      <c r="A166" s="291">
        <v>6</v>
      </c>
      <c r="B166" s="534" t="s">
        <v>654</v>
      </c>
      <c r="C166" s="534"/>
      <c r="D166" s="534"/>
      <c r="E166" s="602">
        <v>2</v>
      </c>
      <c r="F166" s="602"/>
      <c r="G166" s="417">
        <v>1400</v>
      </c>
      <c r="H166" s="417"/>
      <c r="I166" s="603">
        <f t="shared" si="3"/>
        <v>2800</v>
      </c>
      <c r="J166" s="604"/>
      <c r="K166" s="368"/>
    </row>
    <row r="167" spans="1:11" s="320" customFormat="1" x14ac:dyDescent="0.25">
      <c r="A167" s="291">
        <v>7</v>
      </c>
      <c r="B167" s="534" t="s">
        <v>673</v>
      </c>
      <c r="C167" s="534"/>
      <c r="D167" s="534"/>
      <c r="E167" s="602">
        <v>4</v>
      </c>
      <c r="F167" s="602"/>
      <c r="G167" s="417">
        <v>670</v>
      </c>
      <c r="H167" s="417"/>
      <c r="I167" s="603">
        <f t="shared" si="3"/>
        <v>2680</v>
      </c>
      <c r="J167" s="604"/>
      <c r="K167" s="368"/>
    </row>
    <row r="168" spans="1:11" s="320" customFormat="1" x14ac:dyDescent="0.25">
      <c r="A168" s="291">
        <v>8</v>
      </c>
      <c r="B168" s="534" t="s">
        <v>655</v>
      </c>
      <c r="C168" s="534"/>
      <c r="D168" s="534"/>
      <c r="E168" s="602">
        <v>4</v>
      </c>
      <c r="F168" s="602"/>
      <c r="G168" s="417">
        <v>350</v>
      </c>
      <c r="H168" s="417"/>
      <c r="I168" s="603">
        <f t="shared" si="3"/>
        <v>1400</v>
      </c>
      <c r="J168" s="604"/>
      <c r="K168" s="368"/>
    </row>
    <row r="169" spans="1:11" s="320" customFormat="1" x14ac:dyDescent="0.25">
      <c r="A169" s="291">
        <v>9</v>
      </c>
      <c r="B169" s="534" t="s">
        <v>674</v>
      </c>
      <c r="C169" s="534"/>
      <c r="D169" s="534"/>
      <c r="E169" s="602">
        <v>1600</v>
      </c>
      <c r="F169" s="602"/>
      <c r="G169" s="417">
        <v>4.5</v>
      </c>
      <c r="H169" s="417"/>
      <c r="I169" s="603">
        <f t="shared" si="3"/>
        <v>7200</v>
      </c>
      <c r="J169" s="604"/>
      <c r="K169" s="368"/>
    </row>
    <row r="170" spans="1:11" s="320" customFormat="1" x14ac:dyDescent="0.25">
      <c r="A170" s="291">
        <v>10</v>
      </c>
      <c r="B170" s="534" t="s">
        <v>675</v>
      </c>
      <c r="C170" s="534"/>
      <c r="D170" s="534"/>
      <c r="E170" s="602">
        <v>1600</v>
      </c>
      <c r="F170" s="602"/>
      <c r="G170" s="417">
        <v>4.5</v>
      </c>
      <c r="H170" s="417"/>
      <c r="I170" s="603">
        <f t="shared" si="3"/>
        <v>7200</v>
      </c>
      <c r="J170" s="604"/>
      <c r="K170" s="368"/>
    </row>
    <row r="171" spans="1:11" s="320" customFormat="1" x14ac:dyDescent="0.25">
      <c r="A171" s="291">
        <v>11</v>
      </c>
      <c r="B171" s="534" t="s">
        <v>676</v>
      </c>
      <c r="C171" s="534"/>
      <c r="D171" s="534"/>
      <c r="E171" s="602">
        <v>300</v>
      </c>
      <c r="F171" s="602"/>
      <c r="G171" s="417">
        <v>5.5</v>
      </c>
      <c r="H171" s="417"/>
      <c r="I171" s="603">
        <f t="shared" si="3"/>
        <v>1650</v>
      </c>
      <c r="J171" s="604"/>
      <c r="K171" s="368"/>
    </row>
    <row r="172" spans="1:11" s="93" customFormat="1" x14ac:dyDescent="0.25">
      <c r="A172" s="301"/>
      <c r="B172" s="507" t="s">
        <v>13</v>
      </c>
      <c r="C172" s="507"/>
      <c r="D172" s="507"/>
      <c r="E172" s="590"/>
      <c r="F172" s="590"/>
      <c r="G172" s="508" t="s">
        <v>14</v>
      </c>
      <c r="H172" s="508"/>
      <c r="I172" s="677">
        <f>I148+I160</f>
        <v>72010</v>
      </c>
      <c r="J172" s="677"/>
    </row>
    <row r="173" spans="1:11" s="93" customFormat="1" ht="15.75" x14ac:dyDescent="0.25">
      <c r="A173" s="669" t="s">
        <v>649</v>
      </c>
      <c r="B173" s="669"/>
      <c r="C173" s="669"/>
      <c r="D173" s="669"/>
      <c r="E173" s="669"/>
      <c r="F173" s="669"/>
      <c r="G173" s="669"/>
      <c r="H173" s="669"/>
      <c r="I173" s="669"/>
      <c r="J173" s="669"/>
    </row>
    <row r="174" spans="1:11" s="121" customFormat="1" ht="15" customHeight="1" x14ac:dyDescent="0.25">
      <c r="A174" s="288" t="s">
        <v>1</v>
      </c>
      <c r="B174" s="402" t="s">
        <v>15</v>
      </c>
      <c r="C174" s="402"/>
      <c r="D174" s="402"/>
      <c r="E174" s="402" t="s">
        <v>58</v>
      </c>
      <c r="F174" s="402"/>
      <c r="G174" s="402" t="s">
        <v>66</v>
      </c>
      <c r="H174" s="402"/>
      <c r="I174" s="490" t="s">
        <v>264</v>
      </c>
      <c r="J174" s="492"/>
    </row>
    <row r="175" spans="1:11" s="93" customFormat="1" x14ac:dyDescent="0.25">
      <c r="A175" s="288">
        <v>1</v>
      </c>
      <c r="B175" s="402">
        <v>2</v>
      </c>
      <c r="C175" s="402"/>
      <c r="D175" s="402"/>
      <c r="E175" s="402">
        <v>3</v>
      </c>
      <c r="F175" s="402"/>
      <c r="G175" s="402">
        <v>4</v>
      </c>
      <c r="H175" s="402"/>
      <c r="I175" s="402">
        <v>5</v>
      </c>
      <c r="J175" s="402"/>
    </row>
    <row r="176" spans="1:11" s="320" customFormat="1" ht="15" customHeight="1" x14ac:dyDescent="0.25">
      <c r="A176" s="369"/>
      <c r="B176" s="609" t="s">
        <v>583</v>
      </c>
      <c r="C176" s="606"/>
      <c r="D176" s="606"/>
      <c r="E176" s="606"/>
      <c r="F176" s="606"/>
      <c r="G176" s="606"/>
      <c r="H176" s="608"/>
      <c r="I176" s="607">
        <f>I177+I178+I179+I180+I181+I182+I183+I184</f>
        <v>43450</v>
      </c>
      <c r="J176" s="610"/>
      <c r="K176" s="368"/>
    </row>
    <row r="177" spans="1:12" s="320" customFormat="1" x14ac:dyDescent="0.25">
      <c r="A177" s="291">
        <v>1</v>
      </c>
      <c r="B177" s="534" t="s">
        <v>658</v>
      </c>
      <c r="C177" s="534"/>
      <c r="D177" s="534"/>
      <c r="E177" s="602">
        <v>30</v>
      </c>
      <c r="F177" s="602"/>
      <c r="G177" s="417">
        <v>120</v>
      </c>
      <c r="H177" s="417"/>
      <c r="I177" s="603">
        <f t="shared" ref="I177:I184" si="4">E177*G177</f>
        <v>3600</v>
      </c>
      <c r="J177" s="604"/>
      <c r="K177" s="368"/>
    </row>
    <row r="178" spans="1:12" s="320" customFormat="1" x14ac:dyDescent="0.25">
      <c r="A178" s="291">
        <v>2</v>
      </c>
      <c r="B178" s="534" t="s">
        <v>659</v>
      </c>
      <c r="C178" s="534"/>
      <c r="D178" s="534"/>
      <c r="E178" s="602">
        <v>10</v>
      </c>
      <c r="F178" s="602"/>
      <c r="G178" s="417">
        <v>150</v>
      </c>
      <c r="H178" s="417"/>
      <c r="I178" s="603">
        <f t="shared" si="4"/>
        <v>1500</v>
      </c>
      <c r="J178" s="604"/>
      <c r="K178" s="368"/>
    </row>
    <row r="179" spans="1:12" s="320" customFormat="1" x14ac:dyDescent="0.25">
      <c r="A179" s="291">
        <v>3</v>
      </c>
      <c r="B179" s="534" t="s">
        <v>660</v>
      </c>
      <c r="C179" s="534"/>
      <c r="D179" s="534"/>
      <c r="E179" s="602">
        <v>10</v>
      </c>
      <c r="F179" s="602"/>
      <c r="G179" s="417">
        <v>100</v>
      </c>
      <c r="H179" s="417"/>
      <c r="I179" s="603">
        <f t="shared" si="4"/>
        <v>1000</v>
      </c>
      <c r="J179" s="604"/>
      <c r="K179" s="368"/>
    </row>
    <row r="180" spans="1:12" s="320" customFormat="1" x14ac:dyDescent="0.25">
      <c r="A180" s="291">
        <v>4</v>
      </c>
      <c r="B180" s="534" t="s">
        <v>661</v>
      </c>
      <c r="C180" s="534"/>
      <c r="D180" s="534"/>
      <c r="E180" s="602">
        <v>100</v>
      </c>
      <c r="F180" s="602"/>
      <c r="G180" s="417">
        <v>50</v>
      </c>
      <c r="H180" s="417"/>
      <c r="I180" s="603">
        <f t="shared" si="4"/>
        <v>5000</v>
      </c>
      <c r="J180" s="604"/>
      <c r="K180" s="368"/>
    </row>
    <row r="181" spans="1:12" s="320" customFormat="1" x14ac:dyDescent="0.25">
      <c r="A181" s="291">
        <v>5</v>
      </c>
      <c r="B181" s="534" t="s">
        <v>668</v>
      </c>
      <c r="C181" s="534"/>
      <c r="D181" s="534"/>
      <c r="E181" s="602">
        <v>9</v>
      </c>
      <c r="F181" s="602"/>
      <c r="G181" s="417">
        <v>1500</v>
      </c>
      <c r="H181" s="417"/>
      <c r="I181" s="603">
        <f t="shared" si="4"/>
        <v>13500</v>
      </c>
      <c r="J181" s="604"/>
      <c r="K181" s="368"/>
    </row>
    <row r="182" spans="1:12" s="320" customFormat="1" x14ac:dyDescent="0.25">
      <c r="A182" s="291">
        <v>6</v>
      </c>
      <c r="B182" s="534" t="s">
        <v>669</v>
      </c>
      <c r="C182" s="534"/>
      <c r="D182" s="534"/>
      <c r="E182" s="602">
        <v>5</v>
      </c>
      <c r="F182" s="602"/>
      <c r="G182" s="417">
        <v>1000</v>
      </c>
      <c r="H182" s="417"/>
      <c r="I182" s="603">
        <f t="shared" si="4"/>
        <v>5000</v>
      </c>
      <c r="J182" s="604"/>
      <c r="K182" s="368"/>
    </row>
    <row r="183" spans="1:12" s="320" customFormat="1" x14ac:dyDescent="0.25">
      <c r="A183" s="291">
        <v>7</v>
      </c>
      <c r="B183" s="534" t="s">
        <v>670</v>
      </c>
      <c r="C183" s="534"/>
      <c r="D183" s="534"/>
      <c r="E183" s="602">
        <v>9</v>
      </c>
      <c r="F183" s="602"/>
      <c r="G183" s="417">
        <v>150</v>
      </c>
      <c r="H183" s="417"/>
      <c r="I183" s="603">
        <f t="shared" si="4"/>
        <v>1350</v>
      </c>
      <c r="J183" s="604"/>
      <c r="K183" s="368"/>
    </row>
    <row r="184" spans="1:12" s="320" customFormat="1" x14ac:dyDescent="0.25">
      <c r="A184" s="291">
        <v>8</v>
      </c>
      <c r="B184" s="534" t="s">
        <v>652</v>
      </c>
      <c r="C184" s="534"/>
      <c r="D184" s="534"/>
      <c r="E184" s="602">
        <v>100</v>
      </c>
      <c r="F184" s="602"/>
      <c r="G184" s="417">
        <v>125</v>
      </c>
      <c r="H184" s="417"/>
      <c r="I184" s="603">
        <f t="shared" si="4"/>
        <v>12500</v>
      </c>
      <c r="J184" s="604"/>
      <c r="K184" s="368"/>
    </row>
    <row r="185" spans="1:12" s="320" customFormat="1" ht="15" customHeight="1" x14ac:dyDescent="0.25">
      <c r="A185" s="369"/>
      <c r="B185" s="609" t="s">
        <v>585</v>
      </c>
      <c r="C185" s="606"/>
      <c r="D185" s="606"/>
      <c r="E185" s="606"/>
      <c r="F185" s="606"/>
      <c r="G185" s="606"/>
      <c r="H185" s="608"/>
      <c r="I185" s="607">
        <f>I186+I187</f>
        <v>4000</v>
      </c>
      <c r="J185" s="610"/>
      <c r="K185" s="368"/>
    </row>
    <row r="186" spans="1:12" s="320" customFormat="1" x14ac:dyDescent="0.25">
      <c r="A186" s="291">
        <v>1</v>
      </c>
      <c r="B186" s="534" t="s">
        <v>677</v>
      </c>
      <c r="C186" s="534"/>
      <c r="D186" s="534"/>
      <c r="E186" s="602">
        <v>20</v>
      </c>
      <c r="F186" s="602"/>
      <c r="G186" s="417">
        <v>50</v>
      </c>
      <c r="H186" s="417"/>
      <c r="I186" s="603">
        <f>E186*G186</f>
        <v>1000</v>
      </c>
      <c r="J186" s="604"/>
      <c r="K186" s="368"/>
    </row>
    <row r="187" spans="1:12" s="320" customFormat="1" x14ac:dyDescent="0.25">
      <c r="A187" s="291">
        <v>2</v>
      </c>
      <c r="B187" s="534" t="s">
        <v>678</v>
      </c>
      <c r="C187" s="534"/>
      <c r="D187" s="534"/>
      <c r="E187" s="602">
        <v>20</v>
      </c>
      <c r="F187" s="602"/>
      <c r="G187" s="417">
        <v>150</v>
      </c>
      <c r="H187" s="417"/>
      <c r="I187" s="603">
        <f t="shared" ref="I187" si="5">E187*G187</f>
        <v>3000</v>
      </c>
      <c r="J187" s="604"/>
      <c r="K187" s="368"/>
    </row>
    <row r="188" spans="1:12" s="320" customFormat="1" ht="14.25" customHeight="1" x14ac:dyDescent="0.25">
      <c r="A188" s="369"/>
      <c r="B188" s="606" t="s">
        <v>589</v>
      </c>
      <c r="C188" s="606"/>
      <c r="D188" s="606"/>
      <c r="E188" s="606"/>
      <c r="F188" s="606"/>
      <c r="G188" s="606"/>
      <c r="H188" s="606"/>
      <c r="I188" s="607">
        <f>I189+I190+I191+I192+I193+I194</f>
        <v>79000</v>
      </c>
      <c r="J188" s="608"/>
      <c r="K188" s="370"/>
      <c r="L188" s="370"/>
    </row>
    <row r="189" spans="1:12" s="320" customFormat="1" x14ac:dyDescent="0.25">
      <c r="A189" s="291">
        <v>1</v>
      </c>
      <c r="B189" s="534" t="s">
        <v>679</v>
      </c>
      <c r="C189" s="534"/>
      <c r="D189" s="534"/>
      <c r="E189" s="602">
        <v>150</v>
      </c>
      <c r="F189" s="602"/>
      <c r="G189" s="417">
        <v>150</v>
      </c>
      <c r="H189" s="417"/>
      <c r="I189" s="603">
        <f>E189*G189</f>
        <v>22500</v>
      </c>
      <c r="J189" s="604"/>
      <c r="K189" s="368"/>
    </row>
    <row r="190" spans="1:12" s="320" customFormat="1" x14ac:dyDescent="0.25">
      <c r="A190" s="291">
        <v>2</v>
      </c>
      <c r="B190" s="534" t="s">
        <v>680</v>
      </c>
      <c r="C190" s="534"/>
      <c r="D190" s="534"/>
      <c r="E190" s="602">
        <v>3</v>
      </c>
      <c r="F190" s="602"/>
      <c r="G190" s="417">
        <v>1500</v>
      </c>
      <c r="H190" s="417"/>
      <c r="I190" s="603">
        <f t="shared" ref="I190:I194" si="6">E190*G190</f>
        <v>4500</v>
      </c>
      <c r="J190" s="604"/>
      <c r="K190" s="368"/>
    </row>
    <row r="191" spans="1:12" s="320" customFormat="1" x14ac:dyDescent="0.25">
      <c r="A191" s="291">
        <v>3</v>
      </c>
      <c r="B191" s="534" t="s">
        <v>681</v>
      </c>
      <c r="C191" s="534"/>
      <c r="D191" s="534"/>
      <c r="E191" s="602">
        <v>4</v>
      </c>
      <c r="F191" s="602"/>
      <c r="G191" s="417">
        <v>1500</v>
      </c>
      <c r="H191" s="417"/>
      <c r="I191" s="603">
        <f t="shared" si="6"/>
        <v>6000</v>
      </c>
      <c r="J191" s="604"/>
      <c r="K191" s="368"/>
    </row>
    <row r="192" spans="1:12" s="320" customFormat="1" x14ac:dyDescent="0.25">
      <c r="A192" s="291">
        <v>4</v>
      </c>
      <c r="B192" s="534" t="s">
        <v>682</v>
      </c>
      <c r="C192" s="534"/>
      <c r="D192" s="534"/>
      <c r="E192" s="602">
        <v>12</v>
      </c>
      <c r="F192" s="602"/>
      <c r="G192" s="417">
        <v>1500</v>
      </c>
      <c r="H192" s="417"/>
      <c r="I192" s="603">
        <f t="shared" si="6"/>
        <v>18000</v>
      </c>
      <c r="J192" s="604"/>
      <c r="K192" s="368"/>
    </row>
    <row r="193" spans="1:12" s="320" customFormat="1" x14ac:dyDescent="0.25">
      <c r="A193" s="291">
        <v>5</v>
      </c>
      <c r="B193" s="534" t="s">
        <v>683</v>
      </c>
      <c r="C193" s="534"/>
      <c r="D193" s="534"/>
      <c r="E193" s="602">
        <v>200</v>
      </c>
      <c r="F193" s="602"/>
      <c r="G193" s="417">
        <v>40</v>
      </c>
      <c r="H193" s="417"/>
      <c r="I193" s="603">
        <f t="shared" si="6"/>
        <v>8000</v>
      </c>
      <c r="J193" s="604"/>
      <c r="K193" s="368"/>
    </row>
    <row r="194" spans="1:12" s="320" customFormat="1" x14ac:dyDescent="0.25">
      <c r="A194" s="291">
        <v>6</v>
      </c>
      <c r="B194" s="534" t="s">
        <v>684</v>
      </c>
      <c r="C194" s="534"/>
      <c r="D194" s="534"/>
      <c r="E194" s="602">
        <v>200</v>
      </c>
      <c r="F194" s="602"/>
      <c r="G194" s="417">
        <v>100</v>
      </c>
      <c r="H194" s="417"/>
      <c r="I194" s="603">
        <f t="shared" si="6"/>
        <v>20000</v>
      </c>
      <c r="J194" s="604"/>
      <c r="K194" s="368"/>
    </row>
    <row r="195" spans="1:12" s="320" customFormat="1" ht="15.75" customHeight="1" x14ac:dyDescent="0.25">
      <c r="A195" s="369"/>
      <c r="B195" s="606" t="s">
        <v>592</v>
      </c>
      <c r="C195" s="606"/>
      <c r="D195" s="606"/>
      <c r="E195" s="606"/>
      <c r="F195" s="606"/>
      <c r="G195" s="606"/>
      <c r="H195" s="606"/>
      <c r="I195" s="607">
        <f>I196+I197</f>
        <v>35000</v>
      </c>
      <c r="J195" s="608"/>
      <c r="K195" s="370"/>
      <c r="L195" s="370"/>
    </row>
    <row r="196" spans="1:12" s="320" customFormat="1" ht="15" customHeight="1" x14ac:dyDescent="0.25">
      <c r="A196" s="291">
        <v>1</v>
      </c>
      <c r="B196" s="534" t="s">
        <v>657</v>
      </c>
      <c r="C196" s="534"/>
      <c r="D196" s="534"/>
      <c r="E196" s="482">
        <v>100</v>
      </c>
      <c r="F196" s="483"/>
      <c r="G196" s="605">
        <v>150</v>
      </c>
      <c r="H196" s="605"/>
      <c r="I196" s="603">
        <f>E196*G196</f>
        <v>15000</v>
      </c>
      <c r="J196" s="604"/>
      <c r="K196" s="370"/>
      <c r="L196" s="370"/>
    </row>
    <row r="197" spans="1:12" s="320" customFormat="1" ht="15" customHeight="1" x14ac:dyDescent="0.25">
      <c r="A197" s="291">
        <v>2</v>
      </c>
      <c r="B197" s="534" t="s">
        <v>684</v>
      </c>
      <c r="C197" s="534"/>
      <c r="D197" s="534"/>
      <c r="E197" s="482">
        <v>100</v>
      </c>
      <c r="F197" s="483"/>
      <c r="G197" s="605">
        <v>200</v>
      </c>
      <c r="H197" s="605"/>
      <c r="I197" s="603">
        <f>E197*G197</f>
        <v>20000</v>
      </c>
      <c r="J197" s="604"/>
      <c r="K197" s="370"/>
      <c r="L197" s="370"/>
    </row>
    <row r="198" spans="1:12" s="320" customFormat="1" x14ac:dyDescent="0.25">
      <c r="A198" s="369"/>
      <c r="B198" s="606" t="s">
        <v>685</v>
      </c>
      <c r="C198" s="606"/>
      <c r="D198" s="606"/>
      <c r="E198" s="606"/>
      <c r="F198" s="606"/>
      <c r="G198" s="606"/>
      <c r="H198" s="606"/>
      <c r="I198" s="607">
        <f>SUM(I199:J199)</f>
        <v>40000</v>
      </c>
      <c r="J198" s="608"/>
      <c r="K198" s="368"/>
    </row>
    <row r="199" spans="1:12" s="320" customFormat="1" x14ac:dyDescent="0.25">
      <c r="A199" s="291">
        <v>1</v>
      </c>
      <c r="B199" s="534" t="s">
        <v>680</v>
      </c>
      <c r="C199" s="534"/>
      <c r="D199" s="534"/>
      <c r="E199" s="602">
        <v>25</v>
      </c>
      <c r="F199" s="602"/>
      <c r="G199" s="417">
        <v>1600</v>
      </c>
      <c r="H199" s="417"/>
      <c r="I199" s="603">
        <f t="shared" ref="I199" si="7">E199*G199</f>
        <v>40000</v>
      </c>
      <c r="J199" s="604"/>
      <c r="K199" s="368"/>
    </row>
    <row r="200" spans="1:12" s="93" customFormat="1" x14ac:dyDescent="0.25">
      <c r="A200" s="301"/>
      <c r="B200" s="507" t="s">
        <v>13</v>
      </c>
      <c r="C200" s="507"/>
      <c r="D200" s="507"/>
      <c r="E200" s="590"/>
      <c r="F200" s="590"/>
      <c r="G200" s="508" t="s">
        <v>14</v>
      </c>
      <c r="H200" s="508"/>
      <c r="I200" s="677">
        <f>I188+I185+I176+I195+I198</f>
        <v>201450</v>
      </c>
      <c r="J200" s="677"/>
    </row>
    <row r="201" spans="1:12" s="93" customFormat="1" ht="15.75" hidden="1" x14ac:dyDescent="0.25">
      <c r="A201" s="669" t="s">
        <v>369</v>
      </c>
      <c r="B201" s="669"/>
      <c r="C201" s="669"/>
      <c r="D201" s="669"/>
      <c r="E201" s="669"/>
      <c r="F201" s="669"/>
      <c r="G201" s="669"/>
      <c r="H201" s="669"/>
      <c r="I201" s="669"/>
      <c r="J201" s="669"/>
    </row>
    <row r="202" spans="1:12" s="93" customFormat="1" ht="17.25" hidden="1" customHeight="1" x14ac:dyDescent="0.25">
      <c r="A202" s="288" t="s">
        <v>1</v>
      </c>
      <c r="B202" s="402" t="s">
        <v>15</v>
      </c>
      <c r="C202" s="402"/>
      <c r="D202" s="402"/>
      <c r="E202" s="402" t="s">
        <v>58</v>
      </c>
      <c r="F202" s="402"/>
      <c r="G202" s="402" t="s">
        <v>66</v>
      </c>
      <c r="H202" s="402"/>
      <c r="I202" s="490" t="s">
        <v>264</v>
      </c>
      <c r="J202" s="492"/>
    </row>
    <row r="203" spans="1:12" s="93" customFormat="1" ht="13.5" hidden="1" customHeight="1" x14ac:dyDescent="0.25">
      <c r="A203" s="288">
        <v>1</v>
      </c>
      <c r="B203" s="402">
        <v>2</v>
      </c>
      <c r="C203" s="402"/>
      <c r="D203" s="402"/>
      <c r="E203" s="402">
        <v>3</v>
      </c>
      <c r="F203" s="402"/>
      <c r="G203" s="402">
        <v>4</v>
      </c>
      <c r="H203" s="402"/>
      <c r="I203" s="402">
        <v>5</v>
      </c>
      <c r="J203" s="402"/>
    </row>
    <row r="204" spans="1:12" s="93" customFormat="1" ht="18" hidden="1" customHeight="1" x14ac:dyDescent="0.25">
      <c r="A204" s="298">
        <v>1</v>
      </c>
      <c r="B204" s="661" t="s">
        <v>385</v>
      </c>
      <c r="C204" s="662"/>
      <c r="D204" s="663"/>
      <c r="E204" s="123"/>
      <c r="F204" s="122"/>
      <c r="G204" s="522"/>
      <c r="H204" s="522"/>
      <c r="I204" s="563">
        <f>I208</f>
        <v>0</v>
      </c>
      <c r="J204" s="564"/>
    </row>
    <row r="205" spans="1:12" s="93" customFormat="1" ht="30.75" hidden="1" customHeight="1" x14ac:dyDescent="0.25">
      <c r="A205" s="301"/>
      <c r="B205" s="541"/>
      <c r="C205" s="542"/>
      <c r="D205" s="543"/>
      <c r="E205" s="124"/>
      <c r="F205" s="183"/>
      <c r="G205" s="552"/>
      <c r="H205" s="552"/>
      <c r="I205" s="678"/>
      <c r="J205" s="545"/>
    </row>
    <row r="206" spans="1:12" s="93" customFormat="1" hidden="1" x14ac:dyDescent="0.25">
      <c r="A206" s="301"/>
      <c r="B206" s="541"/>
      <c r="C206" s="542"/>
      <c r="D206" s="543"/>
      <c r="E206" s="124"/>
      <c r="F206" s="183"/>
      <c r="G206" s="552"/>
      <c r="H206" s="552"/>
      <c r="I206" s="678"/>
      <c r="J206" s="545"/>
    </row>
    <row r="207" spans="1:12" s="93" customFormat="1" hidden="1" x14ac:dyDescent="0.25">
      <c r="A207" s="301" t="s">
        <v>270</v>
      </c>
      <c r="B207" s="541" t="s">
        <v>343</v>
      </c>
      <c r="C207" s="542"/>
      <c r="D207" s="543"/>
      <c r="E207" s="124" t="s">
        <v>315</v>
      </c>
      <c r="F207" s="183">
        <v>463</v>
      </c>
      <c r="G207" s="552" t="s">
        <v>74</v>
      </c>
      <c r="H207" s="552"/>
      <c r="I207" s="678"/>
      <c r="J207" s="545"/>
    </row>
    <row r="208" spans="1:12" s="93" customFormat="1" hidden="1" x14ac:dyDescent="0.25">
      <c r="A208" s="301"/>
      <c r="B208" s="507" t="s">
        <v>13</v>
      </c>
      <c r="C208" s="507"/>
      <c r="D208" s="507"/>
      <c r="E208" s="590"/>
      <c r="F208" s="590"/>
      <c r="G208" s="508" t="s">
        <v>14</v>
      </c>
      <c r="H208" s="508"/>
      <c r="I208" s="677">
        <f>SUM(I205:I207)</f>
        <v>0</v>
      </c>
      <c r="J208" s="677"/>
    </row>
    <row r="209" spans="1:13" ht="15.75" hidden="1" x14ac:dyDescent="0.25">
      <c r="A209" s="669" t="s">
        <v>365</v>
      </c>
      <c r="B209" s="669"/>
      <c r="C209" s="669"/>
      <c r="D209" s="669"/>
      <c r="E209" s="669"/>
      <c r="F209" s="669"/>
      <c r="G209" s="669"/>
      <c r="H209" s="669"/>
      <c r="I209" s="669"/>
      <c r="J209" s="669"/>
      <c r="M209" s="93"/>
    </row>
    <row r="210" spans="1:13" ht="15" hidden="1" customHeight="1" x14ac:dyDescent="0.25">
      <c r="A210" s="288" t="s">
        <v>1</v>
      </c>
      <c r="B210" s="402" t="s">
        <v>15</v>
      </c>
      <c r="C210" s="402"/>
      <c r="D210" s="402"/>
      <c r="E210" s="402" t="s">
        <v>58</v>
      </c>
      <c r="F210" s="402"/>
      <c r="G210" s="402" t="s">
        <v>66</v>
      </c>
      <c r="H210" s="402"/>
      <c r="I210" s="490" t="s">
        <v>264</v>
      </c>
      <c r="J210" s="492"/>
      <c r="M210" s="93"/>
    </row>
    <row r="211" spans="1:13" hidden="1" x14ac:dyDescent="0.25">
      <c r="A211" s="288">
        <v>1</v>
      </c>
      <c r="B211" s="402">
        <v>2</v>
      </c>
      <c r="C211" s="402"/>
      <c r="D211" s="402"/>
      <c r="E211" s="402">
        <v>3</v>
      </c>
      <c r="F211" s="402"/>
      <c r="G211" s="402">
        <v>4</v>
      </c>
      <c r="H211" s="402"/>
      <c r="I211" s="402">
        <v>5</v>
      </c>
      <c r="J211" s="402"/>
      <c r="M211" s="93"/>
    </row>
    <row r="212" spans="1:13" ht="18.75" hidden="1" customHeight="1" x14ac:dyDescent="0.25">
      <c r="A212" s="298">
        <v>1</v>
      </c>
      <c r="B212" s="661" t="s">
        <v>385</v>
      </c>
      <c r="C212" s="662"/>
      <c r="D212" s="663"/>
      <c r="E212" s="123"/>
      <c r="F212" s="122"/>
      <c r="G212" s="522"/>
      <c r="H212" s="522"/>
      <c r="I212" s="563">
        <f>I213</f>
        <v>0</v>
      </c>
      <c r="J212" s="564"/>
      <c r="M212" s="93"/>
    </row>
    <row r="213" spans="1:13" ht="27.75" hidden="1" customHeight="1" x14ac:dyDescent="0.25">
      <c r="A213" s="301" t="s">
        <v>27</v>
      </c>
      <c r="B213" s="541"/>
      <c r="C213" s="542"/>
      <c r="D213" s="543"/>
      <c r="E213" s="108"/>
      <c r="F213" s="183"/>
      <c r="G213" s="552"/>
      <c r="H213" s="552"/>
      <c r="I213" s="678"/>
      <c r="J213" s="545"/>
      <c r="M213" s="93"/>
    </row>
    <row r="214" spans="1:13" hidden="1" x14ac:dyDescent="0.25">
      <c r="A214" s="301" t="s">
        <v>287</v>
      </c>
      <c r="B214" s="546" t="s">
        <v>333</v>
      </c>
      <c r="C214" s="547"/>
      <c r="D214" s="548"/>
      <c r="E214" s="124" t="s">
        <v>331</v>
      </c>
      <c r="F214" s="183">
        <v>21</v>
      </c>
      <c r="G214" s="552" t="s">
        <v>74</v>
      </c>
      <c r="H214" s="552"/>
      <c r="I214" s="549"/>
      <c r="J214" s="550"/>
      <c r="M214" s="93"/>
    </row>
    <row r="215" spans="1:13" hidden="1" x14ac:dyDescent="0.25">
      <c r="A215" s="301" t="s">
        <v>344</v>
      </c>
      <c r="B215" s="541" t="s">
        <v>342</v>
      </c>
      <c r="C215" s="542"/>
      <c r="D215" s="543"/>
      <c r="E215" s="124" t="s">
        <v>331</v>
      </c>
      <c r="F215" s="183">
        <v>21</v>
      </c>
      <c r="G215" s="552" t="s">
        <v>74</v>
      </c>
      <c r="H215" s="552"/>
      <c r="I215" s="678"/>
      <c r="J215" s="545"/>
      <c r="M215" s="93"/>
    </row>
    <row r="216" spans="1:13" hidden="1" x14ac:dyDescent="0.25">
      <c r="A216" s="301"/>
      <c r="B216" s="507" t="s">
        <v>13</v>
      </c>
      <c r="C216" s="507"/>
      <c r="D216" s="507"/>
      <c r="E216" s="590"/>
      <c r="F216" s="590"/>
      <c r="G216" s="508" t="s">
        <v>14</v>
      </c>
      <c r="H216" s="508"/>
      <c r="I216" s="677">
        <f>I212</f>
        <v>0</v>
      </c>
      <c r="J216" s="677"/>
      <c r="M216" s="93"/>
    </row>
    <row r="217" spans="1:13" ht="15.75" customHeight="1" x14ac:dyDescent="0.25">
      <c r="A217" s="489" t="s">
        <v>370</v>
      </c>
      <c r="B217" s="489"/>
      <c r="C217" s="489"/>
      <c r="D217" s="489"/>
      <c r="E217" s="489"/>
      <c r="F217" s="489"/>
      <c r="G217" s="489"/>
      <c r="H217" s="489"/>
      <c r="I217" s="489"/>
      <c r="J217" s="489"/>
      <c r="M217" s="93"/>
    </row>
    <row r="218" spans="1:13" x14ac:dyDescent="0.25">
      <c r="A218" s="523" t="s">
        <v>1</v>
      </c>
      <c r="B218" s="525" t="s">
        <v>15</v>
      </c>
      <c r="C218" s="526"/>
      <c r="D218" s="527"/>
      <c r="E218" s="525" t="s">
        <v>64</v>
      </c>
      <c r="F218" s="527"/>
      <c r="G218" s="402" t="s">
        <v>65</v>
      </c>
      <c r="H218" s="402"/>
      <c r="I218" s="402"/>
      <c r="J218" s="402"/>
      <c r="M218" s="93"/>
    </row>
    <row r="219" spans="1:13" ht="18.75" customHeight="1" x14ac:dyDescent="0.25">
      <c r="A219" s="524"/>
      <c r="B219" s="528"/>
      <c r="C219" s="529"/>
      <c r="D219" s="530"/>
      <c r="E219" s="528"/>
      <c r="F219" s="530"/>
      <c r="G219" s="288" t="s">
        <v>308</v>
      </c>
      <c r="H219" s="288" t="s">
        <v>305</v>
      </c>
      <c r="I219" s="288" t="s">
        <v>306</v>
      </c>
      <c r="J219" s="288" t="s">
        <v>307</v>
      </c>
      <c r="M219" s="93"/>
    </row>
    <row r="220" spans="1:13" x14ac:dyDescent="0.25">
      <c r="A220" s="288">
        <v>1</v>
      </c>
      <c r="B220" s="402">
        <v>2</v>
      </c>
      <c r="C220" s="402"/>
      <c r="D220" s="402"/>
      <c r="E220" s="490">
        <v>3</v>
      </c>
      <c r="F220" s="492"/>
      <c r="G220" s="402">
        <v>4</v>
      </c>
      <c r="H220" s="402"/>
      <c r="I220" s="402"/>
      <c r="J220" s="402"/>
      <c r="M220" s="93"/>
    </row>
    <row r="221" spans="1:13" ht="15.75" customHeight="1" x14ac:dyDescent="0.25">
      <c r="A221" s="205" t="s">
        <v>70</v>
      </c>
      <c r="B221" s="679" t="s">
        <v>386</v>
      </c>
      <c r="C221" s="679"/>
      <c r="D221" s="679"/>
      <c r="E221" s="475"/>
      <c r="F221" s="476"/>
      <c r="G221" s="298"/>
      <c r="H221" s="298"/>
      <c r="I221" s="222"/>
      <c r="J221" s="204">
        <v>0</v>
      </c>
      <c r="M221" s="93"/>
    </row>
    <row r="222" spans="1:13" ht="15.75" x14ac:dyDescent="0.25">
      <c r="A222" s="106"/>
      <c r="B222" s="586" t="s">
        <v>13</v>
      </c>
      <c r="C222" s="586"/>
      <c r="D222" s="586"/>
      <c r="E222" s="587" t="s">
        <v>14</v>
      </c>
      <c r="F222" s="588"/>
      <c r="G222" s="589">
        <f>J221</f>
        <v>0</v>
      </c>
      <c r="H222" s="590"/>
      <c r="I222" s="590"/>
      <c r="J222" s="590"/>
      <c r="M222" s="93"/>
    </row>
    <row r="223" spans="1:13" ht="10.5" customHeight="1" x14ac:dyDescent="0.25">
      <c r="M223" s="93"/>
    </row>
    <row r="224" spans="1:13" x14ac:dyDescent="0.25">
      <c r="H224" s="110" t="s">
        <v>212</v>
      </c>
      <c r="J224" s="127">
        <f>J226+J227</f>
        <v>738160</v>
      </c>
      <c r="M224" s="93"/>
    </row>
    <row r="225" spans="1:13" x14ac:dyDescent="0.25">
      <c r="H225" s="111" t="s">
        <v>248</v>
      </c>
      <c r="M225" s="93"/>
    </row>
    <row r="226" spans="1:13" x14ac:dyDescent="0.25">
      <c r="H226" s="125" t="s">
        <v>686</v>
      </c>
      <c r="J226" s="126">
        <f>I198+I188+I185+I176+I160+I148+I140+I142+I128+I130+I132+I104+I106+I110+G99+I33</f>
        <v>623160</v>
      </c>
      <c r="M226" s="93"/>
    </row>
    <row r="227" spans="1:13" x14ac:dyDescent="0.25">
      <c r="H227" s="125" t="s">
        <v>687</v>
      </c>
      <c r="I227" s="308"/>
      <c r="J227" s="307">
        <f>I195+I114</f>
        <v>115000</v>
      </c>
      <c r="M227" s="93"/>
    </row>
    <row r="228" spans="1:13" ht="5.25" customHeight="1" x14ac:dyDescent="0.25">
      <c r="H228" s="125"/>
      <c r="J228" s="173"/>
      <c r="M228" s="93"/>
    </row>
    <row r="229" spans="1:13" ht="5.25" customHeight="1" x14ac:dyDescent="0.25">
      <c r="M229" s="93"/>
    </row>
    <row r="230" spans="1:13" s="119" customFormat="1" x14ac:dyDescent="0.25">
      <c r="A230" s="406" t="s">
        <v>514</v>
      </c>
      <c r="B230" s="406"/>
      <c r="C230" s="406"/>
      <c r="D230" s="116"/>
      <c r="E230" s="116"/>
      <c r="F230" s="117" t="s">
        <v>690</v>
      </c>
      <c r="G230" s="118"/>
      <c r="H230" s="118"/>
    </row>
    <row r="231" spans="1:13" s="119" customFormat="1" ht="12.75" x14ac:dyDescent="0.2">
      <c r="A231" s="120"/>
      <c r="B231" s="120"/>
      <c r="C231" s="120"/>
      <c r="D231" s="407" t="s">
        <v>281</v>
      </c>
      <c r="E231" s="407"/>
      <c r="F231" s="271" t="s">
        <v>282</v>
      </c>
      <c r="G231" s="271"/>
      <c r="H231" s="271"/>
    </row>
    <row r="232" spans="1:13" s="121" customFormat="1" x14ac:dyDescent="0.25">
      <c r="A232" s="406" t="s">
        <v>262</v>
      </c>
      <c r="B232" s="406"/>
      <c r="C232" s="406"/>
      <c r="D232" s="116"/>
      <c r="E232" s="116"/>
      <c r="F232" s="117" t="s">
        <v>509</v>
      </c>
      <c r="G232" s="117"/>
      <c r="H232" s="117"/>
    </row>
    <row r="233" spans="1:13" s="119" customFormat="1" ht="12.75" x14ac:dyDescent="0.2">
      <c r="A233" s="120"/>
      <c r="B233" s="120"/>
      <c r="C233" s="120"/>
      <c r="D233" s="407" t="s">
        <v>281</v>
      </c>
      <c r="E233" s="407"/>
      <c r="F233" s="271" t="s">
        <v>282</v>
      </c>
      <c r="G233" s="271"/>
      <c r="H233" s="271"/>
    </row>
    <row r="234" spans="1:13" s="121" customFormat="1" x14ac:dyDescent="0.25">
      <c r="A234" s="406" t="s">
        <v>374</v>
      </c>
      <c r="B234" s="406"/>
      <c r="C234" s="406"/>
      <c r="D234" s="116"/>
      <c r="E234" s="116"/>
      <c r="F234" s="117" t="s">
        <v>510</v>
      </c>
      <c r="G234" s="117"/>
      <c r="H234" s="117"/>
    </row>
    <row r="235" spans="1:13" s="119" customFormat="1" ht="12.75" x14ac:dyDescent="0.2">
      <c r="A235" s="342"/>
      <c r="B235" s="342"/>
      <c r="C235" s="342"/>
      <c r="D235" s="407" t="s">
        <v>281</v>
      </c>
      <c r="E235" s="407"/>
      <c r="F235" s="271" t="s">
        <v>282</v>
      </c>
      <c r="G235" s="271"/>
      <c r="H235" s="271"/>
    </row>
    <row r="236" spans="1:13" x14ac:dyDescent="0.25">
      <c r="A236" s="289"/>
      <c r="B236" s="289"/>
      <c r="C236" s="289"/>
      <c r="D236" s="289"/>
      <c r="E236" s="289"/>
      <c r="F236" s="289"/>
      <c r="G236" s="119"/>
      <c r="H236" s="119"/>
      <c r="I236" s="119"/>
      <c r="J236" s="119"/>
      <c r="M236" s="93"/>
    </row>
    <row r="237" spans="1:13" s="1" customFormat="1" x14ac:dyDescent="0.25">
      <c r="A237" s="47" t="s">
        <v>283</v>
      </c>
      <c r="B237" s="223" t="s">
        <v>578</v>
      </c>
      <c r="C237" s="340"/>
      <c r="D237" s="340"/>
      <c r="E237" s="340"/>
      <c r="F237" s="340"/>
      <c r="G237" s="45"/>
      <c r="H237" s="45"/>
      <c r="I237" s="45"/>
      <c r="J237" s="45"/>
    </row>
    <row r="238" spans="1:13" x14ac:dyDescent="0.25">
      <c r="A238" s="289"/>
      <c r="B238" s="289"/>
      <c r="C238" s="289"/>
      <c r="D238" s="289"/>
      <c r="E238" s="289"/>
      <c r="F238" s="289"/>
      <c r="G238" s="119"/>
      <c r="H238" s="119"/>
      <c r="I238" s="119"/>
      <c r="J238" s="119"/>
      <c r="M238" s="93"/>
    </row>
    <row r="239" spans="1:13" x14ac:dyDescent="0.25">
      <c r="A239" s="408"/>
      <c r="B239" s="408"/>
      <c r="C239" s="289"/>
      <c r="D239" s="289"/>
      <c r="E239" s="289"/>
      <c r="F239" s="289"/>
      <c r="G239" s="119"/>
      <c r="H239" s="119"/>
      <c r="I239" s="119"/>
      <c r="J239" s="119"/>
      <c r="M239" s="93"/>
    </row>
    <row r="240" spans="1:13" x14ac:dyDescent="0.25">
      <c r="M240" s="93"/>
    </row>
    <row r="241" spans="13:13" x14ac:dyDescent="0.25">
      <c r="M241" s="93"/>
    </row>
    <row r="242" spans="13:13" x14ac:dyDescent="0.25">
      <c r="M242" s="93"/>
    </row>
    <row r="243" spans="13:13" x14ac:dyDescent="0.25">
      <c r="M243" s="93"/>
    </row>
    <row r="244" spans="13:13" x14ac:dyDescent="0.25">
      <c r="M244" s="93"/>
    </row>
    <row r="245" spans="13:13" x14ac:dyDescent="0.25">
      <c r="M245" s="93"/>
    </row>
    <row r="246" spans="13:13" x14ac:dyDescent="0.25">
      <c r="M246" s="93"/>
    </row>
    <row r="247" spans="13:13" x14ac:dyDescent="0.25">
      <c r="M247" s="93"/>
    </row>
    <row r="248" spans="13:13" x14ac:dyDescent="0.25">
      <c r="M248" s="93"/>
    </row>
    <row r="249" spans="13:13" x14ac:dyDescent="0.25">
      <c r="M249" s="93"/>
    </row>
    <row r="250" spans="13:13" x14ac:dyDescent="0.25">
      <c r="M250" s="93"/>
    </row>
    <row r="251" spans="13:13" x14ac:dyDescent="0.25">
      <c r="M251" s="93"/>
    </row>
    <row r="252" spans="13:13" x14ac:dyDescent="0.25">
      <c r="M252" s="93"/>
    </row>
    <row r="253" spans="13:13" x14ac:dyDescent="0.25">
      <c r="M253" s="93"/>
    </row>
    <row r="254" spans="13:13" x14ac:dyDescent="0.25">
      <c r="M254" s="93"/>
    </row>
    <row r="255" spans="13:13" x14ac:dyDescent="0.25">
      <c r="M255" s="93"/>
    </row>
    <row r="256" spans="13:13" x14ac:dyDescent="0.25">
      <c r="M256" s="93"/>
    </row>
  </sheetData>
  <mergeCells count="604">
    <mergeCell ref="B110:H110"/>
    <mergeCell ref="I110:J110"/>
    <mergeCell ref="B111:D111"/>
    <mergeCell ref="E111:F111"/>
    <mergeCell ref="G111:H111"/>
    <mergeCell ref="B108:D108"/>
    <mergeCell ref="E108:F108"/>
    <mergeCell ref="G108:H108"/>
    <mergeCell ref="I108:J108"/>
    <mergeCell ref="I150:J150"/>
    <mergeCell ref="I141:J141"/>
    <mergeCell ref="G127:H127"/>
    <mergeCell ref="I127:J127"/>
    <mergeCell ref="A124:J124"/>
    <mergeCell ref="B125:D125"/>
    <mergeCell ref="E125:F125"/>
    <mergeCell ref="B138:D138"/>
    <mergeCell ref="E138:F138"/>
    <mergeCell ref="G138:H138"/>
    <mergeCell ref="I138:J138"/>
    <mergeCell ref="B127:D127"/>
    <mergeCell ref="B126:D126"/>
    <mergeCell ref="E126:F126"/>
    <mergeCell ref="G126:H126"/>
    <mergeCell ref="I126:J126"/>
    <mergeCell ref="B131:D131"/>
    <mergeCell ref="E131:F131"/>
    <mergeCell ref="G131:H131"/>
    <mergeCell ref="I131:J131"/>
    <mergeCell ref="B135:D135"/>
    <mergeCell ref="E135:F135"/>
    <mergeCell ref="G135:H135"/>
    <mergeCell ref="I135:J135"/>
    <mergeCell ref="G107:H107"/>
    <mergeCell ref="I107:J107"/>
    <mergeCell ref="G141:H141"/>
    <mergeCell ref="B109:D109"/>
    <mergeCell ref="E109:F109"/>
    <mergeCell ref="G109:H109"/>
    <mergeCell ref="I109:J109"/>
    <mergeCell ref="B116:D116"/>
    <mergeCell ref="E116:F116"/>
    <mergeCell ref="G116:H116"/>
    <mergeCell ref="I116:J116"/>
    <mergeCell ref="B117:D117"/>
    <mergeCell ref="E117:F117"/>
    <mergeCell ref="G117:J117"/>
    <mergeCell ref="B113:D113"/>
    <mergeCell ref="E113:F113"/>
    <mergeCell ref="G113:H113"/>
    <mergeCell ref="I113:J113"/>
    <mergeCell ref="B114:H114"/>
    <mergeCell ref="I114:J114"/>
    <mergeCell ref="B115:D115"/>
    <mergeCell ref="E115:F115"/>
    <mergeCell ref="G115:H115"/>
    <mergeCell ref="I115:J115"/>
    <mergeCell ref="I77:J77"/>
    <mergeCell ref="E73:F73"/>
    <mergeCell ref="G73:H73"/>
    <mergeCell ref="I73:J73"/>
    <mergeCell ref="G98:J98"/>
    <mergeCell ref="B98:D98"/>
    <mergeCell ref="B51:F51"/>
    <mergeCell ref="G51:H51"/>
    <mergeCell ref="I51:J51"/>
    <mergeCell ref="B52:F52"/>
    <mergeCell ref="G52:H52"/>
    <mergeCell ref="I52:J52"/>
    <mergeCell ref="I89:J89"/>
    <mergeCell ref="G95:J95"/>
    <mergeCell ref="B96:D96"/>
    <mergeCell ref="B95:D95"/>
    <mergeCell ref="E96:F96"/>
    <mergeCell ref="G96:J96"/>
    <mergeCell ref="B94:D94"/>
    <mergeCell ref="G94:J94"/>
    <mergeCell ref="B97:H97"/>
    <mergeCell ref="I97:J97"/>
    <mergeCell ref="B73:D73"/>
    <mergeCell ref="A62:J62"/>
    <mergeCell ref="G72:H72"/>
    <mergeCell ref="B104:H104"/>
    <mergeCell ref="B172:D172"/>
    <mergeCell ref="E172:F172"/>
    <mergeCell ref="G172:H172"/>
    <mergeCell ref="I172:J172"/>
    <mergeCell ref="B147:D147"/>
    <mergeCell ref="E147:F147"/>
    <mergeCell ref="G147:H147"/>
    <mergeCell ref="I147:J147"/>
    <mergeCell ref="I148:J148"/>
    <mergeCell ref="I160:J160"/>
    <mergeCell ref="B148:H148"/>
    <mergeCell ref="B149:D149"/>
    <mergeCell ref="E149:F149"/>
    <mergeCell ref="G149:H149"/>
    <mergeCell ref="I149:J149"/>
    <mergeCell ref="B153:D153"/>
    <mergeCell ref="E153:F153"/>
    <mergeCell ref="G153:H153"/>
    <mergeCell ref="I153:J153"/>
    <mergeCell ref="B150:D150"/>
    <mergeCell ref="E150:F150"/>
    <mergeCell ref="G150:H150"/>
    <mergeCell ref="B144:D144"/>
    <mergeCell ref="E144:F144"/>
    <mergeCell ref="G144:H144"/>
    <mergeCell ref="I144:J144"/>
    <mergeCell ref="B139:D139"/>
    <mergeCell ref="E139:F139"/>
    <mergeCell ref="G139:H139"/>
    <mergeCell ref="I139:J139"/>
    <mergeCell ref="I140:J140"/>
    <mergeCell ref="B140:H140"/>
    <mergeCell ref="E141:F141"/>
    <mergeCell ref="B142:H142"/>
    <mergeCell ref="I142:J142"/>
    <mergeCell ref="B143:D143"/>
    <mergeCell ref="G143:H143"/>
    <mergeCell ref="E143:F143"/>
    <mergeCell ref="I143:J143"/>
    <mergeCell ref="B141:D141"/>
    <mergeCell ref="G61:H61"/>
    <mergeCell ref="E35:F35"/>
    <mergeCell ref="G45:H45"/>
    <mergeCell ref="I45:J45"/>
    <mergeCell ref="B46:F46"/>
    <mergeCell ref="B65:D65"/>
    <mergeCell ref="E65:F65"/>
    <mergeCell ref="G65:H65"/>
    <mergeCell ref="I65:J65"/>
    <mergeCell ref="I104:J104"/>
    <mergeCell ref="A217:J217"/>
    <mergeCell ref="A218:A219"/>
    <mergeCell ref="B218:D219"/>
    <mergeCell ref="B66:D66"/>
    <mergeCell ref="E66:F66"/>
    <mergeCell ref="G66:H66"/>
    <mergeCell ref="I66:J66"/>
    <mergeCell ref="B79:D79"/>
    <mergeCell ref="E79:F79"/>
    <mergeCell ref="G79:H79"/>
    <mergeCell ref="I79:J79"/>
    <mergeCell ref="A74:J74"/>
    <mergeCell ref="A145:J145"/>
    <mergeCell ref="B146:D146"/>
    <mergeCell ref="E146:F146"/>
    <mergeCell ref="G146:H146"/>
    <mergeCell ref="I146:J146"/>
    <mergeCell ref="B77:D77"/>
    <mergeCell ref="E77:F77"/>
    <mergeCell ref="G77:H77"/>
    <mergeCell ref="B214:D214"/>
    <mergeCell ref="G214:H214"/>
    <mergeCell ref="I214:J214"/>
    <mergeCell ref="A239:B239"/>
    <mergeCell ref="A232:C232"/>
    <mergeCell ref="D233:E233"/>
    <mergeCell ref="A234:C234"/>
    <mergeCell ref="D235:E235"/>
    <mergeCell ref="B222:D222"/>
    <mergeCell ref="E222:F222"/>
    <mergeCell ref="G222:J222"/>
    <mergeCell ref="A230:C230"/>
    <mergeCell ref="D231:E231"/>
    <mergeCell ref="B215:D215"/>
    <mergeCell ref="G215:H215"/>
    <mergeCell ref="I215:J215"/>
    <mergeCell ref="B213:D213"/>
    <mergeCell ref="G213:H213"/>
    <mergeCell ref="I213:J213"/>
    <mergeCell ref="E218:F219"/>
    <mergeCell ref="G218:J218"/>
    <mergeCell ref="B221:D221"/>
    <mergeCell ref="E221:F221"/>
    <mergeCell ref="B216:D216"/>
    <mergeCell ref="E216:F216"/>
    <mergeCell ref="G216:H216"/>
    <mergeCell ref="I216:J216"/>
    <mergeCell ref="B220:D220"/>
    <mergeCell ref="E220:F220"/>
    <mergeCell ref="G220:J220"/>
    <mergeCell ref="B211:D211"/>
    <mergeCell ref="E211:F211"/>
    <mergeCell ref="G211:H211"/>
    <mergeCell ref="I211:J211"/>
    <mergeCell ref="B212:D212"/>
    <mergeCell ref="G212:H212"/>
    <mergeCell ref="I212:J212"/>
    <mergeCell ref="B208:D208"/>
    <mergeCell ref="E208:F208"/>
    <mergeCell ref="G208:H208"/>
    <mergeCell ref="I208:J208"/>
    <mergeCell ref="A209:J209"/>
    <mergeCell ref="B210:D210"/>
    <mergeCell ref="E210:F210"/>
    <mergeCell ref="G210:H210"/>
    <mergeCell ref="I210:J210"/>
    <mergeCell ref="B206:D206"/>
    <mergeCell ref="G206:H206"/>
    <mergeCell ref="I206:J206"/>
    <mergeCell ref="B207:D207"/>
    <mergeCell ref="G207:H207"/>
    <mergeCell ref="I207:J207"/>
    <mergeCell ref="B203:D203"/>
    <mergeCell ref="E203:F203"/>
    <mergeCell ref="G203:H203"/>
    <mergeCell ref="I203:J203"/>
    <mergeCell ref="B204:D204"/>
    <mergeCell ref="G204:H204"/>
    <mergeCell ref="I204:J204"/>
    <mergeCell ref="B205:D205"/>
    <mergeCell ref="G205:H205"/>
    <mergeCell ref="I205:J205"/>
    <mergeCell ref="B200:D200"/>
    <mergeCell ref="E200:F200"/>
    <mergeCell ref="G200:H200"/>
    <mergeCell ref="I200:J200"/>
    <mergeCell ref="A201:J201"/>
    <mergeCell ref="B202:D202"/>
    <mergeCell ref="E202:F202"/>
    <mergeCell ref="G202:H202"/>
    <mergeCell ref="I202:J202"/>
    <mergeCell ref="A173:J173"/>
    <mergeCell ref="B174:D174"/>
    <mergeCell ref="E174:F174"/>
    <mergeCell ref="G174:H174"/>
    <mergeCell ref="I174:J174"/>
    <mergeCell ref="B175:D175"/>
    <mergeCell ref="E175:F175"/>
    <mergeCell ref="G175:H175"/>
    <mergeCell ref="I175:J175"/>
    <mergeCell ref="B103:D103"/>
    <mergeCell ref="E103:F103"/>
    <mergeCell ref="G103:J103"/>
    <mergeCell ref="B120:D120"/>
    <mergeCell ref="E120:F120"/>
    <mergeCell ref="G120:J120"/>
    <mergeCell ref="B121:D121"/>
    <mergeCell ref="E121:F121"/>
    <mergeCell ref="G121:J121"/>
    <mergeCell ref="A118:J118"/>
    <mergeCell ref="B119:D119"/>
    <mergeCell ref="B105:D105"/>
    <mergeCell ref="E105:F105"/>
    <mergeCell ref="G105:H105"/>
    <mergeCell ref="I105:J105"/>
    <mergeCell ref="B106:H106"/>
    <mergeCell ref="I106:J106"/>
    <mergeCell ref="I111:J111"/>
    <mergeCell ref="B112:D112"/>
    <mergeCell ref="E112:F112"/>
    <mergeCell ref="G112:H112"/>
    <mergeCell ref="I112:J112"/>
    <mergeCell ref="B107:D107"/>
    <mergeCell ref="E107:F107"/>
    <mergeCell ref="B99:D99"/>
    <mergeCell ref="G99:J99"/>
    <mergeCell ref="A100:J100"/>
    <mergeCell ref="B101:D101"/>
    <mergeCell ref="E101:F101"/>
    <mergeCell ref="G101:J101"/>
    <mergeCell ref="B102:D102"/>
    <mergeCell ref="E102:F102"/>
    <mergeCell ref="G102:J102"/>
    <mergeCell ref="A136:J136"/>
    <mergeCell ref="A137:J137"/>
    <mergeCell ref="B128:H128"/>
    <mergeCell ref="I128:J128"/>
    <mergeCell ref="B129:D129"/>
    <mergeCell ref="E129:F129"/>
    <mergeCell ref="G129:H129"/>
    <mergeCell ref="I129:J129"/>
    <mergeCell ref="B130:H130"/>
    <mergeCell ref="I130:J130"/>
    <mergeCell ref="B132:H132"/>
    <mergeCell ref="I132:J132"/>
    <mergeCell ref="B133:D133"/>
    <mergeCell ref="E133:F133"/>
    <mergeCell ref="G133:H133"/>
    <mergeCell ref="I133:J133"/>
    <mergeCell ref="B134:D134"/>
    <mergeCell ref="E134:F134"/>
    <mergeCell ref="G134:H134"/>
    <mergeCell ref="I134:J134"/>
    <mergeCell ref="K52:L52"/>
    <mergeCell ref="B86:D86"/>
    <mergeCell ref="F86:G86"/>
    <mergeCell ref="I86:J86"/>
    <mergeCell ref="A83:J83"/>
    <mergeCell ref="B84:D84"/>
    <mergeCell ref="F84:G84"/>
    <mergeCell ref="I84:J84"/>
    <mergeCell ref="A56:J56"/>
    <mergeCell ref="B59:D59"/>
    <mergeCell ref="E59:F59"/>
    <mergeCell ref="G59:H59"/>
    <mergeCell ref="I59:J59"/>
    <mergeCell ref="B60:D60"/>
    <mergeCell ref="E60:F60"/>
    <mergeCell ref="G60:H60"/>
    <mergeCell ref="I60:J60"/>
    <mergeCell ref="A55:J55"/>
    <mergeCell ref="A80:J80"/>
    <mergeCell ref="B61:D61"/>
    <mergeCell ref="B53:F53"/>
    <mergeCell ref="I72:J72"/>
    <mergeCell ref="B67:D67"/>
    <mergeCell ref="E67:F67"/>
    <mergeCell ref="B31:H31"/>
    <mergeCell ref="I31:J31"/>
    <mergeCell ref="G49:H49"/>
    <mergeCell ref="B39:F39"/>
    <mergeCell ref="G39:H39"/>
    <mergeCell ref="I39:J39"/>
    <mergeCell ref="B40:F40"/>
    <mergeCell ref="G46:H46"/>
    <mergeCell ref="B32:D32"/>
    <mergeCell ref="G32:J32"/>
    <mergeCell ref="I46:J46"/>
    <mergeCell ref="G40:H40"/>
    <mergeCell ref="I40:J40"/>
    <mergeCell ref="I35:J35"/>
    <mergeCell ref="B36:D36"/>
    <mergeCell ref="E36:F36"/>
    <mergeCell ref="I36:J36"/>
    <mergeCell ref="A9:A11"/>
    <mergeCell ref="I29:J29"/>
    <mergeCell ref="B30:D30"/>
    <mergeCell ref="E30:F30"/>
    <mergeCell ref="I30:J30"/>
    <mergeCell ref="B50:F50"/>
    <mergeCell ref="G50:H50"/>
    <mergeCell ref="I50:J50"/>
    <mergeCell ref="I49:J49"/>
    <mergeCell ref="G42:H42"/>
    <mergeCell ref="I42:J42"/>
    <mergeCell ref="A27:B27"/>
    <mergeCell ref="A38:J38"/>
    <mergeCell ref="B29:D29"/>
    <mergeCell ref="E29:F29"/>
    <mergeCell ref="B33:D33"/>
    <mergeCell ref="E33:F33"/>
    <mergeCell ref="I33:J33"/>
    <mergeCell ref="B45:F45"/>
    <mergeCell ref="B37:D37"/>
    <mergeCell ref="E37:F37"/>
    <mergeCell ref="I37:J37"/>
    <mergeCell ref="A34:J34"/>
    <mergeCell ref="B35:D35"/>
    <mergeCell ref="A28:J28"/>
    <mergeCell ref="A1:J1"/>
    <mergeCell ref="A2:J2"/>
    <mergeCell ref="A3:J3"/>
    <mergeCell ref="A5:J5"/>
    <mergeCell ref="A16:J16"/>
    <mergeCell ref="A17:J17"/>
    <mergeCell ref="A19:B19"/>
    <mergeCell ref="A23:J23"/>
    <mergeCell ref="A25:B25"/>
    <mergeCell ref="H9:H11"/>
    <mergeCell ref="D9:G9"/>
    <mergeCell ref="C9:C11"/>
    <mergeCell ref="B9:B11"/>
    <mergeCell ref="A26:B26"/>
    <mergeCell ref="I9:I11"/>
    <mergeCell ref="J9:J11"/>
    <mergeCell ref="D10:D11"/>
    <mergeCell ref="A8:J8"/>
    <mergeCell ref="E10:G10"/>
    <mergeCell ref="A13:J13"/>
    <mergeCell ref="A15:B15"/>
    <mergeCell ref="A20:J20"/>
    <mergeCell ref="A22:B22"/>
    <mergeCell ref="G125:H125"/>
    <mergeCell ref="I125:J125"/>
    <mergeCell ref="B123:D123"/>
    <mergeCell ref="G123:J123"/>
    <mergeCell ref="B43:F43"/>
    <mergeCell ref="G43:H43"/>
    <mergeCell ref="I43:J43"/>
    <mergeCell ref="B44:F44"/>
    <mergeCell ref="G44:H44"/>
    <mergeCell ref="I44:J44"/>
    <mergeCell ref="B49:F49"/>
    <mergeCell ref="B85:D85"/>
    <mergeCell ref="F85:G85"/>
    <mergeCell ref="I85:J85"/>
    <mergeCell ref="G67:H67"/>
    <mergeCell ref="I67:J67"/>
    <mergeCell ref="A68:J68"/>
    <mergeCell ref="E61:F61"/>
    <mergeCell ref="B47:F47"/>
    <mergeCell ref="E119:F119"/>
    <mergeCell ref="G119:J119"/>
    <mergeCell ref="G53:H53"/>
    <mergeCell ref="I53:J53"/>
    <mergeCell ref="B54:F54"/>
    <mergeCell ref="I92:J92"/>
    <mergeCell ref="G54:H54"/>
    <mergeCell ref="B87:D87"/>
    <mergeCell ref="F87:G87"/>
    <mergeCell ref="I87:J87"/>
    <mergeCell ref="A93:J93"/>
    <mergeCell ref="F92:G92"/>
    <mergeCell ref="B92:D92"/>
    <mergeCell ref="B41:F41"/>
    <mergeCell ref="G41:H41"/>
    <mergeCell ref="I41:J41"/>
    <mergeCell ref="B42:F42"/>
    <mergeCell ref="I61:J61"/>
    <mergeCell ref="I54:J54"/>
    <mergeCell ref="B78:D78"/>
    <mergeCell ref="E78:F78"/>
    <mergeCell ref="G78:H78"/>
    <mergeCell ref="I78:J78"/>
    <mergeCell ref="B71:D71"/>
    <mergeCell ref="E71:F71"/>
    <mergeCell ref="G71:H71"/>
    <mergeCell ref="I71:J71"/>
    <mergeCell ref="B72:D72"/>
    <mergeCell ref="E72:F72"/>
    <mergeCell ref="I176:J176"/>
    <mergeCell ref="B176:H176"/>
    <mergeCell ref="G47:H47"/>
    <mergeCell ref="I47:J47"/>
    <mergeCell ref="B48:F48"/>
    <mergeCell ref="G48:H48"/>
    <mergeCell ref="I48:J48"/>
    <mergeCell ref="B122:D122"/>
    <mergeCell ref="G122:J122"/>
    <mergeCell ref="B90:D90"/>
    <mergeCell ref="F90:G90"/>
    <mergeCell ref="I90:J90"/>
    <mergeCell ref="B91:D91"/>
    <mergeCell ref="F91:G91"/>
    <mergeCell ref="I91:J91"/>
    <mergeCell ref="B88:D88"/>
    <mergeCell ref="F88:G88"/>
    <mergeCell ref="I88:J88"/>
    <mergeCell ref="B89:D89"/>
    <mergeCell ref="F89:G89"/>
    <mergeCell ref="B154:D154"/>
    <mergeCell ref="E154:F154"/>
    <mergeCell ref="G154:H154"/>
    <mergeCell ref="I154:J154"/>
    <mergeCell ref="I151:J151"/>
    <mergeCell ref="B152:D152"/>
    <mergeCell ref="E152:F152"/>
    <mergeCell ref="G152:H152"/>
    <mergeCell ref="I152:J152"/>
    <mergeCell ref="B155:D155"/>
    <mergeCell ref="E155:F155"/>
    <mergeCell ref="G155:H155"/>
    <mergeCell ref="I155:J155"/>
    <mergeCell ref="B151:D151"/>
    <mergeCell ref="E151:F151"/>
    <mergeCell ref="G151:H151"/>
    <mergeCell ref="B156:D156"/>
    <mergeCell ref="E156:F156"/>
    <mergeCell ref="G156:H156"/>
    <mergeCell ref="I156:J156"/>
    <mergeCell ref="B157:D157"/>
    <mergeCell ref="E157:F157"/>
    <mergeCell ref="G157:H157"/>
    <mergeCell ref="I157:J157"/>
    <mergeCell ref="B163:D163"/>
    <mergeCell ref="E163:F163"/>
    <mergeCell ref="G163:H163"/>
    <mergeCell ref="I163:J163"/>
    <mergeCell ref="B164:D164"/>
    <mergeCell ref="E164:F164"/>
    <mergeCell ref="G164:H164"/>
    <mergeCell ref="B158:D158"/>
    <mergeCell ref="E158:F158"/>
    <mergeCell ref="G158:H158"/>
    <mergeCell ref="I158:J158"/>
    <mergeCell ref="B159:D159"/>
    <mergeCell ref="E159:F159"/>
    <mergeCell ref="G159:H159"/>
    <mergeCell ref="I159:J159"/>
    <mergeCell ref="B160:H160"/>
    <mergeCell ref="B161:D161"/>
    <mergeCell ref="E161:F161"/>
    <mergeCell ref="G161:H161"/>
    <mergeCell ref="I161:J161"/>
    <mergeCell ref="B162:D162"/>
    <mergeCell ref="E162:F162"/>
    <mergeCell ref="G162:H162"/>
    <mergeCell ref="I162:J162"/>
    <mergeCell ref="I164:J164"/>
    <mergeCell ref="B167:D167"/>
    <mergeCell ref="E167:F167"/>
    <mergeCell ref="G167:H167"/>
    <mergeCell ref="I167:J167"/>
    <mergeCell ref="B168:D168"/>
    <mergeCell ref="E168:F168"/>
    <mergeCell ref="G168:H168"/>
    <mergeCell ref="I168:J168"/>
    <mergeCell ref="B165:D165"/>
    <mergeCell ref="E165:F165"/>
    <mergeCell ref="G165:H165"/>
    <mergeCell ref="I165:J165"/>
    <mergeCell ref="B166:D166"/>
    <mergeCell ref="E166:F166"/>
    <mergeCell ref="G166:H166"/>
    <mergeCell ref="I166:J166"/>
    <mergeCell ref="B169:D169"/>
    <mergeCell ref="E169:F169"/>
    <mergeCell ref="G169:H169"/>
    <mergeCell ref="I169:J169"/>
    <mergeCell ref="B170:D170"/>
    <mergeCell ref="E170:F170"/>
    <mergeCell ref="G170:H170"/>
    <mergeCell ref="I170:J170"/>
    <mergeCell ref="B171:D171"/>
    <mergeCell ref="E171:F171"/>
    <mergeCell ref="G171:H171"/>
    <mergeCell ref="I171:J171"/>
    <mergeCell ref="B179:D179"/>
    <mergeCell ref="E179:F179"/>
    <mergeCell ref="G179:H179"/>
    <mergeCell ref="I179:J179"/>
    <mergeCell ref="B180:D180"/>
    <mergeCell ref="E180:F180"/>
    <mergeCell ref="G180:H180"/>
    <mergeCell ref="I180:J180"/>
    <mergeCell ref="B177:D177"/>
    <mergeCell ref="E177:F177"/>
    <mergeCell ref="G177:H177"/>
    <mergeCell ref="I177:J177"/>
    <mergeCell ref="B178:D178"/>
    <mergeCell ref="E178:F178"/>
    <mergeCell ref="G178:H178"/>
    <mergeCell ref="I178:J178"/>
    <mergeCell ref="B181:D181"/>
    <mergeCell ref="E181:F181"/>
    <mergeCell ref="G181:H181"/>
    <mergeCell ref="I181:J181"/>
    <mergeCell ref="B187:D187"/>
    <mergeCell ref="E187:F187"/>
    <mergeCell ref="G187:H187"/>
    <mergeCell ref="I187:J187"/>
    <mergeCell ref="B184:D184"/>
    <mergeCell ref="E184:F184"/>
    <mergeCell ref="G184:H184"/>
    <mergeCell ref="I184:J184"/>
    <mergeCell ref="B182:D182"/>
    <mergeCell ref="E182:F182"/>
    <mergeCell ref="G182:H182"/>
    <mergeCell ref="I182:J182"/>
    <mergeCell ref="B183:D183"/>
    <mergeCell ref="E183:F183"/>
    <mergeCell ref="G183:H183"/>
    <mergeCell ref="I183:J183"/>
    <mergeCell ref="B185:H185"/>
    <mergeCell ref="I185:J185"/>
    <mergeCell ref="B186:D186"/>
    <mergeCell ref="E186:F186"/>
    <mergeCell ref="G186:H186"/>
    <mergeCell ref="I186:J186"/>
    <mergeCell ref="B191:D191"/>
    <mergeCell ref="E191:F191"/>
    <mergeCell ref="G191:H191"/>
    <mergeCell ref="I191:J191"/>
    <mergeCell ref="B192:D192"/>
    <mergeCell ref="E192:F192"/>
    <mergeCell ref="G192:H192"/>
    <mergeCell ref="I192:J192"/>
    <mergeCell ref="B188:H188"/>
    <mergeCell ref="I188:J188"/>
    <mergeCell ref="B189:D189"/>
    <mergeCell ref="E189:F189"/>
    <mergeCell ref="G189:H189"/>
    <mergeCell ref="I189:J189"/>
    <mergeCell ref="B190:D190"/>
    <mergeCell ref="E190:F190"/>
    <mergeCell ref="G190:H190"/>
    <mergeCell ref="I190:J190"/>
    <mergeCell ref="B193:D193"/>
    <mergeCell ref="E193:F193"/>
    <mergeCell ref="G193:H193"/>
    <mergeCell ref="I193:J193"/>
    <mergeCell ref="B194:D194"/>
    <mergeCell ref="E194:F194"/>
    <mergeCell ref="G194:H194"/>
    <mergeCell ref="I194:J194"/>
    <mergeCell ref="B195:H195"/>
    <mergeCell ref="I195:J195"/>
    <mergeCell ref="B199:D199"/>
    <mergeCell ref="E199:F199"/>
    <mergeCell ref="G199:H199"/>
    <mergeCell ref="I199:J199"/>
    <mergeCell ref="B196:D196"/>
    <mergeCell ref="E196:F196"/>
    <mergeCell ref="G196:H196"/>
    <mergeCell ref="I196:J196"/>
    <mergeCell ref="B197:D197"/>
    <mergeCell ref="E197:F197"/>
    <mergeCell ref="G197:H197"/>
    <mergeCell ref="I197:J197"/>
    <mergeCell ref="B198:H198"/>
    <mergeCell ref="I198:J198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6" fitToHeight="0" orientation="portrait" r:id="rId1"/>
  <rowBreaks count="1" manualBreakCount="1">
    <brk id="8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view="pageBreakPreview" topLeftCell="A181" zoomScale="60" zoomScaleNormal="100" workbookViewId="0">
      <selection activeCell="I236" sqref="I236"/>
    </sheetView>
  </sheetViews>
  <sheetFormatPr defaultColWidth="9.140625" defaultRowHeight="15" x14ac:dyDescent="0.25"/>
  <cols>
    <col min="1" max="1" width="5.140625" style="93" customWidth="1"/>
    <col min="2" max="2" width="25" style="93" customWidth="1"/>
    <col min="3" max="3" width="9.140625" style="93"/>
    <col min="4" max="4" width="12.28515625" style="93" customWidth="1"/>
    <col min="5" max="5" width="11.140625" style="93" customWidth="1"/>
    <col min="6" max="6" width="12.140625" style="93" customWidth="1"/>
    <col min="7" max="7" width="11.140625" style="93" customWidth="1"/>
    <col min="8" max="8" width="10.85546875" style="93" customWidth="1"/>
    <col min="9" max="9" width="9.5703125" style="93" bestFit="1" customWidth="1"/>
    <col min="10" max="10" width="17.5703125" style="93" customWidth="1"/>
    <col min="11" max="11" width="14.28515625" style="93" customWidth="1"/>
    <col min="12" max="12" width="14" style="93" customWidth="1"/>
    <col min="13" max="13" width="15.85546875" style="1" customWidth="1"/>
    <col min="14" max="16384" width="9.140625" style="93"/>
  </cols>
  <sheetData>
    <row r="1" spans="1:10" s="93" customFormat="1" ht="15.75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s="93" customFormat="1" ht="15.75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0" s="93" customFormat="1" ht="15.75" x14ac:dyDescent="0.25">
      <c r="A3" s="432" t="s">
        <v>579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0" s="93" customFormat="1" ht="15.75" x14ac:dyDescent="0.25">
      <c r="A4" s="92"/>
      <c r="D4" s="94" t="s">
        <v>266</v>
      </c>
      <c r="E4" s="294">
        <v>2021</v>
      </c>
      <c r="F4" s="96" t="s">
        <v>647</v>
      </c>
    </row>
    <row r="5" spans="1:10" s="93" customFormat="1" ht="15.75" x14ac:dyDescent="0.25">
      <c r="A5" s="433" t="s">
        <v>345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0" s="93" customFormat="1" ht="15.75" x14ac:dyDescent="0.25">
      <c r="A6" s="92" t="s">
        <v>80</v>
      </c>
      <c r="C6" s="97">
        <v>111</v>
      </c>
      <c r="D6" s="97">
        <v>119</v>
      </c>
      <c r="E6" s="97"/>
      <c r="F6" s="98"/>
      <c r="G6" s="98"/>
      <c r="H6" s="98"/>
      <c r="I6" s="98"/>
      <c r="J6" s="98"/>
    </row>
    <row r="7" spans="1:10" s="93" customFormat="1" ht="15.75" x14ac:dyDescent="0.25">
      <c r="A7" s="92" t="s">
        <v>81</v>
      </c>
      <c r="D7" s="99" t="s">
        <v>380</v>
      </c>
      <c r="E7" s="99"/>
      <c r="F7" s="100"/>
      <c r="G7" s="99"/>
      <c r="H7" s="100"/>
      <c r="I7" s="100"/>
      <c r="J7" s="100"/>
    </row>
    <row r="8" spans="1:10" s="93" customFormat="1" ht="15.75" x14ac:dyDescent="0.25">
      <c r="A8" s="434" t="s">
        <v>295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0" s="93" customFormat="1" x14ac:dyDescent="0.25">
      <c r="A9" s="636" t="s">
        <v>1</v>
      </c>
      <c r="B9" s="636" t="s">
        <v>2</v>
      </c>
      <c r="C9" s="636" t="s">
        <v>3</v>
      </c>
      <c r="D9" s="639" t="s">
        <v>4</v>
      </c>
      <c r="E9" s="640"/>
      <c r="F9" s="640"/>
      <c r="G9" s="641"/>
      <c r="H9" s="636" t="s">
        <v>5</v>
      </c>
      <c r="I9" s="636" t="s">
        <v>6</v>
      </c>
      <c r="J9" s="636" t="s">
        <v>316</v>
      </c>
    </row>
    <row r="10" spans="1:10" s="93" customFormat="1" x14ac:dyDescent="0.25">
      <c r="A10" s="637"/>
      <c r="B10" s="637"/>
      <c r="C10" s="637"/>
      <c r="D10" s="636" t="s">
        <v>8</v>
      </c>
      <c r="E10" s="639" t="s">
        <v>9</v>
      </c>
      <c r="F10" s="640"/>
      <c r="G10" s="641"/>
      <c r="H10" s="637"/>
      <c r="I10" s="637"/>
      <c r="J10" s="637"/>
    </row>
    <row r="11" spans="1:10" s="93" customFormat="1" ht="75" x14ac:dyDescent="0.25">
      <c r="A11" s="638"/>
      <c r="B11" s="638"/>
      <c r="C11" s="638"/>
      <c r="D11" s="638"/>
      <c r="E11" s="295" t="s">
        <v>10</v>
      </c>
      <c r="F11" s="295" t="s">
        <v>11</v>
      </c>
      <c r="G11" s="295" t="s">
        <v>12</v>
      </c>
      <c r="H11" s="638"/>
      <c r="I11" s="638"/>
      <c r="J11" s="638"/>
    </row>
    <row r="12" spans="1:10" s="93" customFormat="1" x14ac:dyDescent="0.25">
      <c r="A12" s="310">
        <v>1</v>
      </c>
      <c r="B12" s="310">
        <v>2</v>
      </c>
      <c r="C12" s="310">
        <v>3</v>
      </c>
      <c r="D12" s="310">
        <v>4</v>
      </c>
      <c r="E12" s="310">
        <v>5</v>
      </c>
      <c r="F12" s="310">
        <v>6</v>
      </c>
      <c r="G12" s="310">
        <v>7</v>
      </c>
      <c r="H12" s="310">
        <v>8</v>
      </c>
      <c r="I12" s="310">
        <v>9</v>
      </c>
      <c r="J12" s="310">
        <v>10</v>
      </c>
    </row>
    <row r="13" spans="1:10" s="371" customFormat="1" ht="14.25" x14ac:dyDescent="0.2">
      <c r="A13" s="429" t="s">
        <v>319</v>
      </c>
      <c r="B13" s="630"/>
      <c r="C13" s="630"/>
      <c r="D13" s="630"/>
      <c r="E13" s="630"/>
      <c r="F13" s="630"/>
      <c r="G13" s="630"/>
      <c r="H13" s="630"/>
      <c r="I13" s="630"/>
      <c r="J13" s="631"/>
    </row>
    <row r="14" spans="1:10" s="371" customFormat="1" x14ac:dyDescent="0.2">
      <c r="A14" s="295"/>
      <c r="B14" s="130"/>
      <c r="C14" s="225"/>
      <c r="D14" s="131"/>
      <c r="E14" s="131"/>
      <c r="F14" s="131"/>
      <c r="G14" s="131"/>
      <c r="H14" s="132"/>
      <c r="I14" s="295"/>
      <c r="J14" s="140">
        <f>(D14*(H14/100+I14))*9</f>
        <v>0</v>
      </c>
    </row>
    <row r="15" spans="1:10" s="372" customFormat="1" x14ac:dyDescent="0.25">
      <c r="A15" s="644" t="s">
        <v>320</v>
      </c>
      <c r="B15" s="645"/>
      <c r="C15" s="226">
        <f>SUM(C14:C14)</f>
        <v>0</v>
      </c>
      <c r="D15" s="155">
        <f>D14</f>
        <v>0</v>
      </c>
      <c r="E15" s="156" t="s">
        <v>14</v>
      </c>
      <c r="F15" s="156" t="s">
        <v>14</v>
      </c>
      <c r="G15" s="156" t="s">
        <v>14</v>
      </c>
      <c r="H15" s="156" t="s">
        <v>14</v>
      </c>
      <c r="I15" s="156" t="s">
        <v>14</v>
      </c>
      <c r="J15" s="154">
        <f>SUM(J14:J14)</f>
        <v>0</v>
      </c>
    </row>
    <row r="16" spans="1:10" s="372" customFormat="1" x14ac:dyDescent="0.25">
      <c r="A16" s="429" t="s">
        <v>337</v>
      </c>
      <c r="B16" s="630"/>
      <c r="C16" s="630"/>
      <c r="D16" s="630"/>
      <c r="E16" s="630"/>
      <c r="F16" s="630"/>
      <c r="G16" s="630"/>
      <c r="H16" s="630"/>
      <c r="I16" s="630"/>
      <c r="J16" s="631"/>
    </row>
    <row r="17" spans="1:12" s="372" customFormat="1" x14ac:dyDescent="0.25">
      <c r="A17" s="429" t="s">
        <v>338</v>
      </c>
      <c r="B17" s="630"/>
      <c r="C17" s="630"/>
      <c r="D17" s="630"/>
      <c r="E17" s="630"/>
      <c r="F17" s="630"/>
      <c r="G17" s="630"/>
      <c r="H17" s="630"/>
      <c r="I17" s="630"/>
      <c r="J17" s="631"/>
    </row>
    <row r="18" spans="1:12" s="372" customFormat="1" x14ac:dyDescent="0.25">
      <c r="A18" s="295"/>
      <c r="B18" s="157"/>
      <c r="C18" s="158"/>
      <c r="D18" s="131"/>
      <c r="E18" s="149"/>
      <c r="F18" s="131"/>
      <c r="G18" s="131"/>
      <c r="H18" s="132"/>
      <c r="I18" s="295"/>
      <c r="J18" s="140">
        <f t="shared" ref="J18" si="0">(D18*(H18/100+I18))*12</f>
        <v>0</v>
      </c>
    </row>
    <row r="19" spans="1:12" s="372" customFormat="1" x14ac:dyDescent="0.25">
      <c r="A19" s="632" t="s">
        <v>339</v>
      </c>
      <c r="B19" s="633"/>
      <c r="C19" s="159">
        <f>SUM(C18:C18)</f>
        <v>0</v>
      </c>
      <c r="D19" s="160"/>
      <c r="E19" s="161" t="s">
        <v>14</v>
      </c>
      <c r="F19" s="161" t="s">
        <v>14</v>
      </c>
      <c r="G19" s="161" t="s">
        <v>14</v>
      </c>
      <c r="H19" s="161" t="s">
        <v>14</v>
      </c>
      <c r="I19" s="161" t="s">
        <v>14</v>
      </c>
      <c r="J19" s="162">
        <f>SUM(J18:J18)</f>
        <v>0</v>
      </c>
    </row>
    <row r="20" spans="1:12" s="372" customFormat="1" x14ac:dyDescent="0.25">
      <c r="A20" s="429" t="s">
        <v>340</v>
      </c>
      <c r="B20" s="630"/>
      <c r="C20" s="630"/>
      <c r="D20" s="630"/>
      <c r="E20" s="630"/>
      <c r="F20" s="630"/>
      <c r="G20" s="630"/>
      <c r="H20" s="630"/>
      <c r="I20" s="630"/>
      <c r="J20" s="631"/>
    </row>
    <row r="21" spans="1:12" s="372" customFormat="1" x14ac:dyDescent="0.25">
      <c r="A21" s="295"/>
      <c r="B21" s="130"/>
      <c r="C21" s="140"/>
      <c r="D21" s="131"/>
      <c r="E21" s="131"/>
      <c r="F21" s="131"/>
      <c r="G21" s="131"/>
      <c r="H21" s="132"/>
      <c r="I21" s="295"/>
      <c r="J21" s="140">
        <f>(D21*(H21/100+I21))*10</f>
        <v>0</v>
      </c>
    </row>
    <row r="22" spans="1:12" s="372" customFormat="1" x14ac:dyDescent="0.25">
      <c r="A22" s="634" t="s">
        <v>341</v>
      </c>
      <c r="B22" s="635"/>
      <c r="C22" s="163">
        <f>SUM(C21:C21)</f>
        <v>0</v>
      </c>
      <c r="D22" s="155">
        <f>SUM(D21:D21)</f>
        <v>0</v>
      </c>
      <c r="E22" s="156" t="s">
        <v>14</v>
      </c>
      <c r="F22" s="156" t="s">
        <v>14</v>
      </c>
      <c r="G22" s="156" t="s">
        <v>14</v>
      </c>
      <c r="H22" s="156" t="s">
        <v>14</v>
      </c>
      <c r="I22" s="156" t="s">
        <v>14</v>
      </c>
      <c r="J22" s="155">
        <f>SUM(J21:J21)</f>
        <v>0</v>
      </c>
    </row>
    <row r="23" spans="1:12" s="372" customFormat="1" x14ac:dyDescent="0.25">
      <c r="A23" s="429" t="s">
        <v>375</v>
      </c>
      <c r="B23" s="630"/>
      <c r="C23" s="630"/>
      <c r="D23" s="630"/>
      <c r="E23" s="630"/>
      <c r="F23" s="630"/>
      <c r="G23" s="630"/>
      <c r="H23" s="630"/>
      <c r="I23" s="630"/>
      <c r="J23" s="631"/>
    </row>
    <row r="24" spans="1:12" s="372" customFormat="1" x14ac:dyDescent="0.25">
      <c r="A24" s="295"/>
      <c r="B24" s="130"/>
      <c r="C24" s="140"/>
      <c r="D24" s="131"/>
      <c r="E24" s="131"/>
      <c r="F24" s="131"/>
      <c r="G24" s="131"/>
      <c r="H24" s="132"/>
      <c r="I24" s="295"/>
      <c r="J24" s="140">
        <f>(D24*(H24/100+I24))*10</f>
        <v>0</v>
      </c>
    </row>
    <row r="25" spans="1:12" s="372" customFormat="1" x14ac:dyDescent="0.25">
      <c r="A25" s="634" t="s">
        <v>341</v>
      </c>
      <c r="B25" s="635"/>
      <c r="C25" s="163">
        <f>SUM(C24:C24)</f>
        <v>0</v>
      </c>
      <c r="D25" s="155">
        <f>SUM(D24:D24)</f>
        <v>0</v>
      </c>
      <c r="E25" s="156" t="s">
        <v>14</v>
      </c>
      <c r="F25" s="156" t="s">
        <v>14</v>
      </c>
      <c r="G25" s="156" t="s">
        <v>14</v>
      </c>
      <c r="H25" s="156" t="s">
        <v>14</v>
      </c>
      <c r="I25" s="156" t="s">
        <v>14</v>
      </c>
      <c r="J25" s="155">
        <f>SUM(J24:J24)</f>
        <v>0</v>
      </c>
    </row>
    <row r="26" spans="1:12" s="372" customFormat="1" x14ac:dyDescent="0.25">
      <c r="A26" s="642" t="s">
        <v>13</v>
      </c>
      <c r="B26" s="643"/>
      <c r="C26" s="227">
        <f>C15+C19+C22+C25</f>
        <v>0</v>
      </c>
      <c r="D26" s="164"/>
      <c r="E26" s="165" t="s">
        <v>14</v>
      </c>
      <c r="F26" s="165" t="s">
        <v>14</v>
      </c>
      <c r="G26" s="165" t="s">
        <v>14</v>
      </c>
      <c r="H26" s="165" t="s">
        <v>14</v>
      </c>
      <c r="I26" s="165" t="s">
        <v>14</v>
      </c>
      <c r="J26" s="166">
        <v>0</v>
      </c>
      <c r="K26" s="373"/>
      <c r="L26" s="374"/>
    </row>
    <row r="27" spans="1:12" s="372" customFormat="1" x14ac:dyDescent="0.25">
      <c r="A27" s="647"/>
      <c r="B27" s="647"/>
      <c r="C27" s="167"/>
      <c r="D27" s="168"/>
      <c r="E27" s="169"/>
      <c r="F27" s="169"/>
      <c r="G27" s="169"/>
      <c r="H27" s="169"/>
      <c r="I27" s="169"/>
      <c r="J27" s="170"/>
      <c r="K27" s="374"/>
    </row>
    <row r="28" spans="1:12" s="93" customFormat="1" ht="15.75" x14ac:dyDescent="0.25">
      <c r="A28" s="484" t="s">
        <v>581</v>
      </c>
      <c r="B28" s="484"/>
      <c r="C28" s="484"/>
      <c r="D28" s="484"/>
      <c r="E28" s="484"/>
      <c r="F28" s="484"/>
      <c r="G28" s="484"/>
      <c r="H28" s="484"/>
      <c r="I28" s="484"/>
      <c r="J28" s="484"/>
    </row>
    <row r="29" spans="1:12" s="93" customFormat="1" ht="38.25" x14ac:dyDescent="0.25">
      <c r="A29" s="293" t="s">
        <v>1</v>
      </c>
      <c r="B29" s="479" t="s">
        <v>15</v>
      </c>
      <c r="C29" s="646"/>
      <c r="D29" s="480"/>
      <c r="E29" s="479" t="s">
        <v>16</v>
      </c>
      <c r="F29" s="480"/>
      <c r="G29" s="293" t="s">
        <v>17</v>
      </c>
      <c r="H29" s="293" t="s">
        <v>18</v>
      </c>
      <c r="I29" s="479" t="s">
        <v>104</v>
      </c>
      <c r="J29" s="480"/>
    </row>
    <row r="30" spans="1:12" s="93" customFormat="1" x14ac:dyDescent="0.25">
      <c r="A30" s="293">
        <v>1</v>
      </c>
      <c r="B30" s="479">
        <v>2</v>
      </c>
      <c r="C30" s="646"/>
      <c r="D30" s="480"/>
      <c r="E30" s="479">
        <v>3</v>
      </c>
      <c r="F30" s="480"/>
      <c r="G30" s="293">
        <v>4</v>
      </c>
      <c r="H30" s="293">
        <v>5</v>
      </c>
      <c r="I30" s="479">
        <v>6</v>
      </c>
      <c r="J30" s="480"/>
    </row>
    <row r="31" spans="1:12" s="378" customFormat="1" ht="13.5" x14ac:dyDescent="0.2">
      <c r="A31" s="375"/>
      <c r="B31" s="656" t="s">
        <v>585</v>
      </c>
      <c r="C31" s="656"/>
      <c r="D31" s="656"/>
      <c r="E31" s="656"/>
      <c r="F31" s="656"/>
      <c r="G31" s="656"/>
      <c r="H31" s="656"/>
      <c r="I31" s="657">
        <f>SUM(I32)</f>
        <v>0</v>
      </c>
      <c r="J31" s="658"/>
      <c r="K31" s="376"/>
      <c r="L31" s="377"/>
    </row>
    <row r="32" spans="1:12" s="93" customFormat="1" x14ac:dyDescent="0.25">
      <c r="A32" s="301" t="s">
        <v>70</v>
      </c>
      <c r="B32" s="462" t="s">
        <v>580</v>
      </c>
      <c r="C32" s="463"/>
      <c r="D32" s="464"/>
      <c r="E32" s="301"/>
      <c r="F32" s="301">
        <v>1</v>
      </c>
      <c r="G32" s="611">
        <v>40000</v>
      </c>
      <c r="H32" s="612"/>
      <c r="I32" s="612"/>
      <c r="J32" s="613"/>
    </row>
    <row r="33" spans="1:10" s="93" customFormat="1" x14ac:dyDescent="0.25">
      <c r="A33" s="291"/>
      <c r="B33" s="648" t="s">
        <v>13</v>
      </c>
      <c r="C33" s="649"/>
      <c r="D33" s="650"/>
      <c r="E33" s="482" t="s">
        <v>14</v>
      </c>
      <c r="F33" s="483"/>
      <c r="G33" s="291" t="s">
        <v>14</v>
      </c>
      <c r="H33" s="291" t="s">
        <v>14</v>
      </c>
      <c r="I33" s="651">
        <f>G32</f>
        <v>40000</v>
      </c>
      <c r="J33" s="652"/>
    </row>
    <row r="34" spans="1:10" s="378" customFormat="1" ht="15.75" x14ac:dyDescent="0.25">
      <c r="A34" s="539" t="s">
        <v>360</v>
      </c>
      <c r="B34" s="539"/>
      <c r="C34" s="539"/>
      <c r="D34" s="539"/>
      <c r="E34" s="539"/>
      <c r="F34" s="539"/>
      <c r="G34" s="539"/>
      <c r="H34" s="539"/>
      <c r="I34" s="539"/>
      <c r="J34" s="539"/>
    </row>
    <row r="35" spans="1:10" s="378" customFormat="1" ht="51" x14ac:dyDescent="0.2">
      <c r="A35" s="293" t="s">
        <v>1</v>
      </c>
      <c r="B35" s="479" t="s">
        <v>15</v>
      </c>
      <c r="C35" s="646"/>
      <c r="D35" s="480"/>
      <c r="E35" s="479" t="s">
        <v>20</v>
      </c>
      <c r="F35" s="480"/>
      <c r="G35" s="293" t="s">
        <v>21</v>
      </c>
      <c r="H35" s="293" t="s">
        <v>22</v>
      </c>
      <c r="I35" s="479" t="s">
        <v>19</v>
      </c>
      <c r="J35" s="480"/>
    </row>
    <row r="36" spans="1:10" s="93" customFormat="1" x14ac:dyDescent="0.25">
      <c r="A36" s="293">
        <v>1</v>
      </c>
      <c r="B36" s="479">
        <v>2</v>
      </c>
      <c r="C36" s="646"/>
      <c r="D36" s="480"/>
      <c r="E36" s="479">
        <v>3</v>
      </c>
      <c r="F36" s="480"/>
      <c r="G36" s="293">
        <v>4</v>
      </c>
      <c r="H36" s="293">
        <v>5</v>
      </c>
      <c r="I36" s="479">
        <v>6</v>
      </c>
      <c r="J36" s="480"/>
    </row>
    <row r="37" spans="1:10" s="93" customFormat="1" x14ac:dyDescent="0.25">
      <c r="A37" s="219"/>
      <c r="B37" s="653" t="s">
        <v>13</v>
      </c>
      <c r="C37" s="654"/>
      <c r="D37" s="655"/>
      <c r="E37" s="482" t="s">
        <v>14</v>
      </c>
      <c r="F37" s="483"/>
      <c r="G37" s="291" t="s">
        <v>14</v>
      </c>
      <c r="H37" s="291" t="s">
        <v>14</v>
      </c>
      <c r="I37" s="651"/>
      <c r="J37" s="652"/>
    </row>
    <row r="38" spans="1:10" s="93" customFormat="1" ht="15.75" x14ac:dyDescent="0.25">
      <c r="A38" s="539" t="s">
        <v>298</v>
      </c>
      <c r="B38" s="539"/>
      <c r="C38" s="539"/>
      <c r="D38" s="539"/>
      <c r="E38" s="539"/>
      <c r="F38" s="539"/>
      <c r="G38" s="539"/>
      <c r="H38" s="539"/>
      <c r="I38" s="539"/>
      <c r="J38" s="539"/>
    </row>
    <row r="39" spans="1:10" s="93" customFormat="1" ht="25.5" x14ac:dyDescent="0.25">
      <c r="A39" s="288" t="s">
        <v>1</v>
      </c>
      <c r="B39" s="490" t="s">
        <v>23</v>
      </c>
      <c r="C39" s="491"/>
      <c r="D39" s="491"/>
      <c r="E39" s="491"/>
      <c r="F39" s="492"/>
      <c r="G39" s="490" t="s">
        <v>24</v>
      </c>
      <c r="H39" s="492"/>
      <c r="I39" s="490" t="s">
        <v>25</v>
      </c>
      <c r="J39" s="492"/>
    </row>
    <row r="40" spans="1:10" s="93" customFormat="1" x14ac:dyDescent="0.25">
      <c r="A40" s="288">
        <v>1</v>
      </c>
      <c r="B40" s="490">
        <v>2</v>
      </c>
      <c r="C40" s="491"/>
      <c r="D40" s="491"/>
      <c r="E40" s="491"/>
      <c r="F40" s="492"/>
      <c r="G40" s="490">
        <v>3</v>
      </c>
      <c r="H40" s="492"/>
      <c r="I40" s="490">
        <v>4</v>
      </c>
      <c r="J40" s="492"/>
    </row>
    <row r="41" spans="1:10" s="93" customFormat="1" x14ac:dyDescent="0.25">
      <c r="A41" s="298" t="s">
        <v>70</v>
      </c>
      <c r="B41" s="472" t="s">
        <v>26</v>
      </c>
      <c r="C41" s="473"/>
      <c r="D41" s="473"/>
      <c r="E41" s="473"/>
      <c r="F41" s="474"/>
      <c r="G41" s="475" t="s">
        <v>14</v>
      </c>
      <c r="H41" s="476"/>
      <c r="I41" s="443">
        <f>SUM(I43:J45)</f>
        <v>0</v>
      </c>
      <c r="J41" s="444"/>
    </row>
    <row r="42" spans="1:10" s="378" customFormat="1" x14ac:dyDescent="0.25">
      <c r="A42" s="102"/>
      <c r="B42" s="496" t="s">
        <v>9</v>
      </c>
      <c r="C42" s="504"/>
      <c r="D42" s="504"/>
      <c r="E42" s="504"/>
      <c r="F42" s="497"/>
      <c r="G42" s="458"/>
      <c r="H42" s="459"/>
      <c r="I42" s="460"/>
      <c r="J42" s="461"/>
    </row>
    <row r="43" spans="1:10" s="93" customFormat="1" x14ac:dyDescent="0.25">
      <c r="A43" s="301" t="s">
        <v>27</v>
      </c>
      <c r="B43" s="566" t="s">
        <v>28</v>
      </c>
      <c r="C43" s="567"/>
      <c r="D43" s="567"/>
      <c r="E43" s="567"/>
      <c r="F43" s="568"/>
      <c r="G43" s="465">
        <f>J26</f>
        <v>0</v>
      </c>
      <c r="H43" s="466"/>
      <c r="I43" s="460">
        <f>G43*22%</f>
        <v>0</v>
      </c>
      <c r="J43" s="461"/>
    </row>
    <row r="44" spans="1:10" s="93" customFormat="1" x14ac:dyDescent="0.25">
      <c r="A44" s="301" t="s">
        <v>29</v>
      </c>
      <c r="B44" s="455" t="s">
        <v>30</v>
      </c>
      <c r="C44" s="456"/>
      <c r="D44" s="456"/>
      <c r="E44" s="456"/>
      <c r="F44" s="457"/>
      <c r="G44" s="458"/>
      <c r="H44" s="459"/>
      <c r="I44" s="460"/>
      <c r="J44" s="461"/>
    </row>
    <row r="45" spans="1:10" s="93" customFormat="1" x14ac:dyDescent="0.25">
      <c r="A45" s="301" t="s">
        <v>31</v>
      </c>
      <c r="B45" s="462" t="s">
        <v>32</v>
      </c>
      <c r="C45" s="463"/>
      <c r="D45" s="463"/>
      <c r="E45" s="463"/>
      <c r="F45" s="464"/>
      <c r="G45" s="458"/>
      <c r="H45" s="459"/>
      <c r="I45" s="460"/>
      <c r="J45" s="461"/>
    </row>
    <row r="46" spans="1:10" s="93" customFormat="1" x14ac:dyDescent="0.25">
      <c r="A46" s="298" t="s">
        <v>75</v>
      </c>
      <c r="B46" s="472" t="s">
        <v>33</v>
      </c>
      <c r="C46" s="473"/>
      <c r="D46" s="473"/>
      <c r="E46" s="473"/>
      <c r="F46" s="474"/>
      <c r="G46" s="475" t="s">
        <v>14</v>
      </c>
      <c r="H46" s="476"/>
      <c r="I46" s="443">
        <f>SUM(I48:J52)</f>
        <v>0</v>
      </c>
      <c r="J46" s="444"/>
    </row>
    <row r="47" spans="1:10" s="93" customFormat="1" x14ac:dyDescent="0.25">
      <c r="A47" s="102"/>
      <c r="B47" s="496" t="s">
        <v>9</v>
      </c>
      <c r="C47" s="504"/>
      <c r="D47" s="504"/>
      <c r="E47" s="504"/>
      <c r="F47" s="497"/>
      <c r="G47" s="458"/>
      <c r="H47" s="459"/>
      <c r="I47" s="460"/>
      <c r="J47" s="461"/>
    </row>
    <row r="48" spans="1:10" s="93" customFormat="1" x14ac:dyDescent="0.25">
      <c r="A48" s="301" t="s">
        <v>34</v>
      </c>
      <c r="B48" s="462" t="s">
        <v>35</v>
      </c>
      <c r="C48" s="463"/>
      <c r="D48" s="463"/>
      <c r="E48" s="463"/>
      <c r="F48" s="464"/>
      <c r="G48" s="465">
        <f>G43</f>
        <v>0</v>
      </c>
      <c r="H48" s="466"/>
      <c r="I48" s="460">
        <f>G48*2.9%</f>
        <v>0</v>
      </c>
      <c r="J48" s="461"/>
    </row>
    <row r="49" spans="1:12" s="93" customFormat="1" x14ac:dyDescent="0.25">
      <c r="A49" s="301" t="s">
        <v>36</v>
      </c>
      <c r="B49" s="462" t="s">
        <v>37</v>
      </c>
      <c r="C49" s="463"/>
      <c r="D49" s="463"/>
      <c r="E49" s="463"/>
      <c r="F49" s="464"/>
      <c r="G49" s="458"/>
      <c r="H49" s="459"/>
      <c r="I49" s="460"/>
      <c r="J49" s="461"/>
    </row>
    <row r="50" spans="1:12" s="93" customFormat="1" x14ac:dyDescent="0.25">
      <c r="A50" s="301" t="s">
        <v>38</v>
      </c>
      <c r="B50" s="462" t="s">
        <v>39</v>
      </c>
      <c r="C50" s="463"/>
      <c r="D50" s="463"/>
      <c r="E50" s="463"/>
      <c r="F50" s="464"/>
      <c r="G50" s="465">
        <f>G43</f>
        <v>0</v>
      </c>
      <c r="H50" s="466"/>
      <c r="I50" s="460">
        <f>G50*0.2%</f>
        <v>0</v>
      </c>
      <c r="J50" s="461"/>
    </row>
    <row r="51" spans="1:12" s="93" customFormat="1" x14ac:dyDescent="0.25">
      <c r="A51" s="301" t="s">
        <v>40</v>
      </c>
      <c r="B51" s="462" t="s">
        <v>41</v>
      </c>
      <c r="C51" s="463"/>
      <c r="D51" s="463"/>
      <c r="E51" s="463"/>
      <c r="F51" s="464"/>
      <c r="G51" s="458"/>
      <c r="H51" s="459"/>
      <c r="I51" s="460"/>
      <c r="J51" s="461"/>
    </row>
    <row r="52" spans="1:12" s="93" customFormat="1" x14ac:dyDescent="0.25">
      <c r="A52" s="301" t="s">
        <v>42</v>
      </c>
      <c r="B52" s="462" t="s">
        <v>41</v>
      </c>
      <c r="C52" s="463"/>
      <c r="D52" s="463"/>
      <c r="E52" s="463"/>
      <c r="F52" s="464"/>
      <c r="G52" s="458"/>
      <c r="H52" s="459"/>
      <c r="I52" s="460"/>
      <c r="J52" s="461"/>
      <c r="K52" s="659"/>
      <c r="L52" s="660"/>
    </row>
    <row r="53" spans="1:12" s="378" customFormat="1" x14ac:dyDescent="0.25">
      <c r="A53" s="298" t="s">
        <v>77</v>
      </c>
      <c r="B53" s="472" t="s">
        <v>43</v>
      </c>
      <c r="C53" s="473"/>
      <c r="D53" s="473"/>
      <c r="E53" s="473"/>
      <c r="F53" s="474"/>
      <c r="G53" s="493">
        <f>G43</f>
        <v>0</v>
      </c>
      <c r="H53" s="494"/>
      <c r="I53" s="443">
        <f>G53*5.1%</f>
        <v>0</v>
      </c>
      <c r="J53" s="444"/>
      <c r="K53" s="379"/>
      <c r="L53" s="380"/>
    </row>
    <row r="54" spans="1:12" s="378" customFormat="1" x14ac:dyDescent="0.25">
      <c r="A54" s="301"/>
      <c r="B54" s="448" t="s">
        <v>13</v>
      </c>
      <c r="C54" s="449"/>
      <c r="D54" s="449"/>
      <c r="E54" s="449"/>
      <c r="F54" s="450"/>
      <c r="G54" s="451" t="s">
        <v>14</v>
      </c>
      <c r="H54" s="452"/>
      <c r="I54" s="623"/>
      <c r="J54" s="624"/>
    </row>
    <row r="55" spans="1:12" s="93" customFormat="1" x14ac:dyDescent="0.25">
      <c r="A55" s="488" t="s">
        <v>205</v>
      </c>
      <c r="B55" s="488"/>
      <c r="C55" s="488"/>
      <c r="D55" s="488"/>
      <c r="E55" s="488"/>
      <c r="F55" s="488"/>
      <c r="G55" s="488"/>
      <c r="H55" s="488"/>
      <c r="I55" s="488"/>
      <c r="J55" s="488"/>
      <c r="K55" s="381"/>
      <c r="L55" s="381"/>
    </row>
    <row r="56" spans="1:12" s="378" customFormat="1" ht="15.75" x14ac:dyDescent="0.25">
      <c r="A56" s="489" t="s">
        <v>361</v>
      </c>
      <c r="B56" s="489"/>
      <c r="C56" s="489"/>
      <c r="D56" s="489"/>
      <c r="E56" s="489"/>
      <c r="F56" s="489"/>
      <c r="G56" s="489"/>
      <c r="H56" s="489"/>
      <c r="I56" s="489"/>
      <c r="J56" s="489"/>
      <c r="K56" s="379"/>
      <c r="L56" s="380"/>
    </row>
    <row r="57" spans="1:12" s="378" customFormat="1" x14ac:dyDescent="0.25">
      <c r="A57" s="221" t="s">
        <v>80</v>
      </c>
      <c r="B57" s="93"/>
      <c r="C57" s="97"/>
      <c r="D57" s="97"/>
      <c r="E57" s="97"/>
      <c r="F57" s="98"/>
      <c r="G57" s="98"/>
      <c r="H57" s="98"/>
      <c r="I57" s="98"/>
      <c r="J57" s="98"/>
    </row>
    <row r="58" spans="1:12" s="93" customFormat="1" x14ac:dyDescent="0.25">
      <c r="A58" s="221" t="s">
        <v>81</v>
      </c>
      <c r="E58" s="99"/>
      <c r="F58" s="100"/>
      <c r="G58" s="100"/>
      <c r="H58" s="100"/>
      <c r="I58" s="100"/>
      <c r="J58" s="100"/>
    </row>
    <row r="59" spans="1:12" s="93" customFormat="1" ht="25.5" x14ac:dyDescent="0.25">
      <c r="A59" s="288" t="s">
        <v>1</v>
      </c>
      <c r="B59" s="490" t="s">
        <v>44</v>
      </c>
      <c r="C59" s="491"/>
      <c r="D59" s="492"/>
      <c r="E59" s="490" t="s">
        <v>45</v>
      </c>
      <c r="F59" s="492"/>
      <c r="G59" s="490" t="s">
        <v>46</v>
      </c>
      <c r="H59" s="492"/>
      <c r="I59" s="490" t="s">
        <v>102</v>
      </c>
      <c r="J59" s="492"/>
    </row>
    <row r="60" spans="1:12" s="378" customFormat="1" ht="12.75" x14ac:dyDescent="0.2">
      <c r="A60" s="288">
        <v>1</v>
      </c>
      <c r="B60" s="490">
        <v>2</v>
      </c>
      <c r="C60" s="491"/>
      <c r="D60" s="492"/>
      <c r="E60" s="490">
        <v>3</v>
      </c>
      <c r="F60" s="492"/>
      <c r="G60" s="490">
        <v>4</v>
      </c>
      <c r="H60" s="492"/>
      <c r="I60" s="490">
        <v>5</v>
      </c>
      <c r="J60" s="492"/>
    </row>
    <row r="61" spans="1:12" s="93" customFormat="1" x14ac:dyDescent="0.25">
      <c r="A61" s="299"/>
      <c r="B61" s="448" t="s">
        <v>13</v>
      </c>
      <c r="C61" s="449"/>
      <c r="D61" s="450"/>
      <c r="E61" s="451" t="s">
        <v>14</v>
      </c>
      <c r="F61" s="452"/>
      <c r="G61" s="451" t="s">
        <v>14</v>
      </c>
      <c r="H61" s="452"/>
      <c r="I61" s="451"/>
      <c r="J61" s="452"/>
      <c r="K61" s="125"/>
    </row>
    <row r="62" spans="1:12" s="93" customFormat="1" ht="15.75" x14ac:dyDescent="0.25">
      <c r="A62" s="540" t="s">
        <v>364</v>
      </c>
      <c r="B62" s="540"/>
      <c r="C62" s="540"/>
      <c r="D62" s="540"/>
      <c r="E62" s="540"/>
      <c r="F62" s="540"/>
      <c r="G62" s="540"/>
      <c r="H62" s="540"/>
      <c r="I62" s="540"/>
      <c r="J62" s="540"/>
    </row>
    <row r="63" spans="1:12" s="93" customFormat="1" x14ac:dyDescent="0.25">
      <c r="A63" s="221" t="s">
        <v>80</v>
      </c>
      <c r="C63" s="97"/>
      <c r="D63" s="97"/>
      <c r="E63" s="97"/>
      <c r="F63" s="98"/>
      <c r="G63" s="98"/>
      <c r="H63" s="98"/>
      <c r="I63" s="98"/>
      <c r="J63" s="98"/>
    </row>
    <row r="64" spans="1:12" s="93" customFormat="1" x14ac:dyDescent="0.25">
      <c r="A64" s="221" t="s">
        <v>81</v>
      </c>
      <c r="E64" s="99"/>
      <c r="F64" s="100"/>
      <c r="G64" s="100"/>
      <c r="H64" s="100"/>
      <c r="I64" s="100"/>
      <c r="J64" s="100"/>
    </row>
    <row r="65" spans="1:11" s="378" customFormat="1" ht="25.5" x14ac:dyDescent="0.2">
      <c r="A65" s="288" t="s">
        <v>1</v>
      </c>
      <c r="B65" s="490" t="s">
        <v>15</v>
      </c>
      <c r="C65" s="491"/>
      <c r="D65" s="492"/>
      <c r="E65" s="490" t="s">
        <v>47</v>
      </c>
      <c r="F65" s="492"/>
      <c r="G65" s="490" t="s">
        <v>48</v>
      </c>
      <c r="H65" s="492"/>
      <c r="I65" s="490" t="s">
        <v>103</v>
      </c>
      <c r="J65" s="492"/>
    </row>
    <row r="66" spans="1:11" s="378" customFormat="1" ht="12.75" x14ac:dyDescent="0.2">
      <c r="A66" s="288">
        <v>1</v>
      </c>
      <c r="B66" s="490">
        <v>2</v>
      </c>
      <c r="C66" s="491"/>
      <c r="D66" s="492"/>
      <c r="E66" s="490">
        <v>3</v>
      </c>
      <c r="F66" s="492"/>
      <c r="G66" s="490">
        <v>4</v>
      </c>
      <c r="H66" s="492"/>
      <c r="I66" s="490">
        <v>5</v>
      </c>
      <c r="J66" s="492"/>
    </row>
    <row r="67" spans="1:11" s="93" customFormat="1" x14ac:dyDescent="0.25">
      <c r="A67" s="299"/>
      <c r="B67" s="448" t="s">
        <v>13</v>
      </c>
      <c r="C67" s="449"/>
      <c r="D67" s="450"/>
      <c r="E67" s="451" t="s">
        <v>74</v>
      </c>
      <c r="F67" s="452"/>
      <c r="G67" s="451" t="s">
        <v>14</v>
      </c>
      <c r="H67" s="452"/>
      <c r="I67" s="627"/>
      <c r="J67" s="628"/>
    </row>
    <row r="68" spans="1:11" s="93" customFormat="1" ht="15.75" x14ac:dyDescent="0.25">
      <c r="A68" s="629" t="s">
        <v>85</v>
      </c>
      <c r="B68" s="629"/>
      <c r="C68" s="629"/>
      <c r="D68" s="629"/>
      <c r="E68" s="629"/>
      <c r="F68" s="629"/>
      <c r="G68" s="629"/>
      <c r="H68" s="629"/>
      <c r="I68" s="629"/>
      <c r="J68" s="629"/>
    </row>
    <row r="69" spans="1:11" s="93" customFormat="1" x14ac:dyDescent="0.25">
      <c r="A69" s="221" t="s">
        <v>80</v>
      </c>
      <c r="C69" s="97"/>
      <c r="D69" s="97"/>
      <c r="E69" s="97"/>
      <c r="F69" s="98"/>
      <c r="G69" s="98"/>
      <c r="H69" s="98"/>
      <c r="I69" s="98"/>
      <c r="J69" s="98"/>
    </row>
    <row r="70" spans="1:11" s="93" customFormat="1" x14ac:dyDescent="0.25">
      <c r="A70" s="221" t="s">
        <v>81</v>
      </c>
      <c r="E70" s="99"/>
      <c r="F70" s="100"/>
      <c r="G70" s="100"/>
      <c r="H70" s="100"/>
      <c r="I70" s="100"/>
      <c r="J70" s="100"/>
    </row>
    <row r="71" spans="1:11" s="93" customFormat="1" ht="25.5" x14ac:dyDescent="0.25">
      <c r="A71" s="288" t="s">
        <v>1</v>
      </c>
      <c r="B71" s="490" t="s">
        <v>44</v>
      </c>
      <c r="C71" s="491"/>
      <c r="D71" s="492"/>
      <c r="E71" s="490" t="s">
        <v>45</v>
      </c>
      <c r="F71" s="492"/>
      <c r="G71" s="490" t="s">
        <v>46</v>
      </c>
      <c r="H71" s="492"/>
      <c r="I71" s="490" t="s">
        <v>102</v>
      </c>
      <c r="J71" s="492"/>
    </row>
    <row r="72" spans="1:11" s="378" customFormat="1" ht="12.75" x14ac:dyDescent="0.2">
      <c r="A72" s="288">
        <v>1</v>
      </c>
      <c r="B72" s="490">
        <v>2</v>
      </c>
      <c r="C72" s="491"/>
      <c r="D72" s="492"/>
      <c r="E72" s="490">
        <v>3</v>
      </c>
      <c r="F72" s="492"/>
      <c r="G72" s="490">
        <v>4</v>
      </c>
      <c r="H72" s="492"/>
      <c r="I72" s="490">
        <v>5</v>
      </c>
      <c r="J72" s="492"/>
    </row>
    <row r="73" spans="1:11" s="93" customFormat="1" x14ac:dyDescent="0.25">
      <c r="A73" s="299"/>
      <c r="B73" s="448" t="s">
        <v>13</v>
      </c>
      <c r="C73" s="449"/>
      <c r="D73" s="450"/>
      <c r="E73" s="451" t="s">
        <v>14</v>
      </c>
      <c r="F73" s="452"/>
      <c r="G73" s="451" t="s">
        <v>14</v>
      </c>
      <c r="H73" s="452"/>
      <c r="I73" s="451"/>
      <c r="J73" s="452"/>
    </row>
    <row r="74" spans="1:11" s="378" customFormat="1" ht="15.75" x14ac:dyDescent="0.25">
      <c r="A74" s="668" t="s">
        <v>91</v>
      </c>
      <c r="B74" s="668"/>
      <c r="C74" s="668"/>
      <c r="D74" s="668"/>
      <c r="E74" s="668"/>
      <c r="F74" s="668"/>
      <c r="G74" s="668"/>
      <c r="H74" s="668"/>
      <c r="I74" s="668"/>
      <c r="J74" s="668"/>
    </row>
    <row r="75" spans="1:11" s="93" customFormat="1" x14ac:dyDescent="0.25">
      <c r="A75" s="221" t="s">
        <v>80</v>
      </c>
      <c r="C75" s="97"/>
      <c r="D75" s="97"/>
      <c r="E75" s="97"/>
      <c r="F75" s="98"/>
      <c r="G75" s="98"/>
      <c r="H75" s="98"/>
      <c r="I75" s="98"/>
      <c r="J75" s="98"/>
      <c r="K75" s="125"/>
    </row>
    <row r="76" spans="1:11" s="378" customFormat="1" x14ac:dyDescent="0.25">
      <c r="A76" s="221" t="s">
        <v>81</v>
      </c>
      <c r="B76" s="93"/>
      <c r="C76" s="93"/>
      <c r="D76" s="93"/>
      <c r="E76" s="99"/>
      <c r="F76" s="100"/>
      <c r="G76" s="99"/>
      <c r="H76" s="100"/>
      <c r="I76" s="100"/>
      <c r="J76" s="100"/>
    </row>
    <row r="77" spans="1:11" s="378" customFormat="1" ht="25.5" x14ac:dyDescent="0.2">
      <c r="A77" s="288" t="s">
        <v>1</v>
      </c>
      <c r="B77" s="490" t="s">
        <v>44</v>
      </c>
      <c r="C77" s="491"/>
      <c r="D77" s="492"/>
      <c r="E77" s="490" t="s">
        <v>45</v>
      </c>
      <c r="F77" s="492"/>
      <c r="G77" s="490" t="s">
        <v>46</v>
      </c>
      <c r="H77" s="492"/>
      <c r="I77" s="490" t="s">
        <v>102</v>
      </c>
      <c r="J77" s="492"/>
    </row>
    <row r="78" spans="1:11" s="378" customFormat="1" ht="12.75" x14ac:dyDescent="0.2">
      <c r="A78" s="288">
        <v>1</v>
      </c>
      <c r="B78" s="490">
        <v>2</v>
      </c>
      <c r="C78" s="491"/>
      <c r="D78" s="492"/>
      <c r="E78" s="490">
        <v>3</v>
      </c>
      <c r="F78" s="492"/>
      <c r="G78" s="490">
        <v>4</v>
      </c>
      <c r="H78" s="492"/>
      <c r="I78" s="490">
        <v>5</v>
      </c>
      <c r="J78" s="492"/>
    </row>
    <row r="79" spans="1:11" s="93" customFormat="1" x14ac:dyDescent="0.25">
      <c r="A79" s="301"/>
      <c r="B79" s="448" t="s">
        <v>13</v>
      </c>
      <c r="C79" s="449"/>
      <c r="D79" s="450"/>
      <c r="E79" s="451" t="s">
        <v>14</v>
      </c>
      <c r="F79" s="452"/>
      <c r="G79" s="451" t="s">
        <v>14</v>
      </c>
      <c r="H79" s="452"/>
      <c r="I79" s="451"/>
      <c r="J79" s="452"/>
    </row>
    <row r="80" spans="1:11" s="378" customFormat="1" ht="15.75" x14ac:dyDescent="0.25">
      <c r="A80" s="668" t="s">
        <v>49</v>
      </c>
      <c r="B80" s="668"/>
      <c r="C80" s="668"/>
      <c r="D80" s="668"/>
      <c r="E80" s="668"/>
      <c r="F80" s="668"/>
      <c r="G80" s="668"/>
      <c r="H80" s="668"/>
      <c r="I80" s="668"/>
      <c r="J80" s="668"/>
    </row>
    <row r="81" spans="1:12" s="378" customFormat="1" ht="15.75" x14ac:dyDescent="0.25">
      <c r="A81" s="92" t="s">
        <v>80</v>
      </c>
      <c r="B81" s="93"/>
      <c r="C81" s="97">
        <v>244</v>
      </c>
      <c r="D81" s="97"/>
      <c r="E81" s="97"/>
      <c r="F81" s="98"/>
      <c r="G81" s="98"/>
      <c r="H81" s="98"/>
      <c r="I81" s="98"/>
      <c r="J81" s="98"/>
    </row>
    <row r="82" spans="1:12" s="93" customFormat="1" ht="15.75" x14ac:dyDescent="0.25">
      <c r="A82" s="92" t="s">
        <v>81</v>
      </c>
      <c r="D82" s="99"/>
      <c r="E82" s="99"/>
      <c r="F82" s="100"/>
      <c r="G82" s="100"/>
      <c r="H82" s="100"/>
      <c r="I82" s="100"/>
      <c r="J82" s="100"/>
    </row>
    <row r="83" spans="1:12" s="93" customFormat="1" ht="15.75" x14ac:dyDescent="0.25">
      <c r="A83" s="434" t="s">
        <v>366</v>
      </c>
      <c r="B83" s="434"/>
      <c r="C83" s="434"/>
      <c r="D83" s="434"/>
      <c r="E83" s="434"/>
      <c r="F83" s="434"/>
      <c r="G83" s="434"/>
      <c r="H83" s="434"/>
      <c r="I83" s="434"/>
      <c r="J83" s="434"/>
    </row>
    <row r="84" spans="1:12" s="93" customFormat="1" ht="38.25" x14ac:dyDescent="0.25">
      <c r="A84" s="288" t="s">
        <v>1</v>
      </c>
      <c r="B84" s="490" t="s">
        <v>44</v>
      </c>
      <c r="C84" s="491"/>
      <c r="D84" s="492"/>
      <c r="E84" s="288" t="s">
        <v>55</v>
      </c>
      <c r="F84" s="490" t="s">
        <v>56</v>
      </c>
      <c r="G84" s="492"/>
      <c r="H84" s="288" t="s">
        <v>57</v>
      </c>
      <c r="I84" s="490" t="s">
        <v>104</v>
      </c>
      <c r="J84" s="492"/>
    </row>
    <row r="85" spans="1:12" s="93" customFormat="1" x14ac:dyDescent="0.25">
      <c r="A85" s="288">
        <v>1</v>
      </c>
      <c r="B85" s="490">
        <v>2</v>
      </c>
      <c r="C85" s="491"/>
      <c r="D85" s="492"/>
      <c r="E85" s="288">
        <v>3</v>
      </c>
      <c r="F85" s="490">
        <v>4</v>
      </c>
      <c r="G85" s="492"/>
      <c r="H85" s="288">
        <v>5</v>
      </c>
      <c r="I85" s="490">
        <v>6</v>
      </c>
      <c r="J85" s="492"/>
    </row>
    <row r="86" spans="1:12" s="119" customFormat="1" x14ac:dyDescent="0.25">
      <c r="A86" s="298">
        <v>1</v>
      </c>
      <c r="B86" s="661" t="s">
        <v>381</v>
      </c>
      <c r="C86" s="662"/>
      <c r="D86" s="663"/>
      <c r="E86" s="297"/>
      <c r="F86" s="664">
        <f>G88+G89</f>
        <v>0</v>
      </c>
      <c r="G86" s="665"/>
      <c r="H86" s="123"/>
      <c r="I86" s="666">
        <f>I88+I89+I90+I91+I87</f>
        <v>0</v>
      </c>
      <c r="J86" s="667"/>
    </row>
    <row r="87" spans="1:12" s="119" customFormat="1" x14ac:dyDescent="0.25">
      <c r="A87" s="309" t="s">
        <v>70</v>
      </c>
      <c r="B87" s="614" t="s">
        <v>376</v>
      </c>
      <c r="C87" s="615"/>
      <c r="D87" s="616"/>
      <c r="E87" s="192"/>
      <c r="F87" s="617"/>
      <c r="G87" s="618"/>
      <c r="H87" s="115"/>
      <c r="I87" s="619"/>
      <c r="J87" s="620"/>
    </row>
    <row r="88" spans="1:12" s="119" customFormat="1" x14ac:dyDescent="0.25">
      <c r="A88" s="309">
        <v>2</v>
      </c>
      <c r="B88" s="614" t="s">
        <v>153</v>
      </c>
      <c r="C88" s="615"/>
      <c r="D88" s="616"/>
      <c r="E88" s="192"/>
      <c r="F88" s="617"/>
      <c r="G88" s="618"/>
      <c r="H88" s="115"/>
      <c r="I88" s="619"/>
      <c r="J88" s="620"/>
    </row>
    <row r="89" spans="1:12" s="93" customFormat="1" x14ac:dyDescent="0.25">
      <c r="A89" s="309">
        <v>3</v>
      </c>
      <c r="B89" s="614" t="s">
        <v>154</v>
      </c>
      <c r="C89" s="615"/>
      <c r="D89" s="616"/>
      <c r="E89" s="201"/>
      <c r="F89" s="617"/>
      <c r="G89" s="618"/>
      <c r="H89" s="115"/>
      <c r="I89" s="619"/>
      <c r="J89" s="620"/>
    </row>
    <row r="90" spans="1:12" s="93" customFormat="1" x14ac:dyDescent="0.25">
      <c r="A90" s="309">
        <v>4</v>
      </c>
      <c r="B90" s="614" t="s">
        <v>155</v>
      </c>
      <c r="C90" s="615"/>
      <c r="D90" s="616"/>
      <c r="E90" s="171"/>
      <c r="F90" s="617"/>
      <c r="G90" s="618"/>
      <c r="H90" s="115"/>
      <c r="I90" s="619"/>
      <c r="J90" s="620"/>
    </row>
    <row r="91" spans="1:12" s="93" customFormat="1" x14ac:dyDescent="0.25">
      <c r="A91" s="309">
        <v>5</v>
      </c>
      <c r="B91" s="614" t="s">
        <v>152</v>
      </c>
      <c r="C91" s="615"/>
      <c r="D91" s="616"/>
      <c r="E91" s="114"/>
      <c r="F91" s="617"/>
      <c r="G91" s="618"/>
      <c r="H91" s="115"/>
      <c r="I91" s="619"/>
      <c r="J91" s="620"/>
    </row>
    <row r="92" spans="1:12" s="93" customFormat="1" x14ac:dyDescent="0.25">
      <c r="A92" s="301"/>
      <c r="B92" s="448" t="s">
        <v>13</v>
      </c>
      <c r="C92" s="449"/>
      <c r="D92" s="450"/>
      <c r="E92" s="299" t="s">
        <v>14</v>
      </c>
      <c r="F92" s="451" t="s">
        <v>14</v>
      </c>
      <c r="G92" s="452"/>
      <c r="H92" s="299" t="s">
        <v>14</v>
      </c>
      <c r="I92" s="621">
        <f>I86</f>
        <v>0</v>
      </c>
      <c r="J92" s="622"/>
      <c r="K92" s="382"/>
      <c r="L92" s="382"/>
    </row>
    <row r="93" spans="1:12" s="119" customFormat="1" ht="15.75" x14ac:dyDescent="0.25">
      <c r="A93" s="433" t="s">
        <v>367</v>
      </c>
      <c r="B93" s="433"/>
      <c r="C93" s="433"/>
      <c r="D93" s="433"/>
      <c r="E93" s="433"/>
      <c r="F93" s="433"/>
      <c r="G93" s="433"/>
      <c r="H93" s="433"/>
      <c r="I93" s="433"/>
      <c r="J93" s="433"/>
    </row>
    <row r="94" spans="1:12" s="93" customFormat="1" ht="25.5" x14ac:dyDescent="0.25">
      <c r="A94" s="288" t="s">
        <v>1</v>
      </c>
      <c r="B94" s="402" t="s">
        <v>15</v>
      </c>
      <c r="C94" s="402"/>
      <c r="D94" s="402"/>
      <c r="E94" s="288" t="s">
        <v>61</v>
      </c>
      <c r="F94" s="288" t="s">
        <v>62</v>
      </c>
      <c r="G94" s="402" t="s">
        <v>63</v>
      </c>
      <c r="H94" s="402"/>
      <c r="I94" s="402"/>
      <c r="J94" s="402"/>
    </row>
    <row r="95" spans="1:12" s="93" customFormat="1" x14ac:dyDescent="0.25">
      <c r="A95" s="288">
        <v>1</v>
      </c>
      <c r="B95" s="402">
        <v>2</v>
      </c>
      <c r="C95" s="402"/>
      <c r="D95" s="402"/>
      <c r="E95" s="288">
        <v>3</v>
      </c>
      <c r="F95" s="288">
        <v>4</v>
      </c>
      <c r="G95" s="490">
        <v>5</v>
      </c>
      <c r="H95" s="491"/>
      <c r="I95" s="491"/>
      <c r="J95" s="492"/>
    </row>
    <row r="96" spans="1:12" s="93" customFormat="1" x14ac:dyDescent="0.25">
      <c r="A96" s="298">
        <v>1</v>
      </c>
      <c r="B96" s="498" t="s">
        <v>382</v>
      </c>
      <c r="C96" s="499"/>
      <c r="D96" s="500"/>
      <c r="E96" s="472"/>
      <c r="F96" s="464"/>
      <c r="G96" s="664">
        <f>SUM(G97:J97)</f>
        <v>0</v>
      </c>
      <c r="H96" s="463"/>
      <c r="I96" s="463"/>
      <c r="J96" s="464"/>
    </row>
    <row r="97" spans="1:13" x14ac:dyDescent="0.25">
      <c r="A97" s="301"/>
      <c r="B97" s="455"/>
      <c r="C97" s="456"/>
      <c r="D97" s="457"/>
      <c r="E97" s="301">
        <v>1</v>
      </c>
      <c r="F97" s="301">
        <v>1</v>
      </c>
      <c r="G97" s="611"/>
      <c r="H97" s="612"/>
      <c r="I97" s="612"/>
      <c r="J97" s="613"/>
      <c r="M97" s="93"/>
    </row>
    <row r="98" spans="1:13" x14ac:dyDescent="0.25">
      <c r="A98" s="301"/>
      <c r="B98" s="507" t="s">
        <v>13</v>
      </c>
      <c r="C98" s="507"/>
      <c r="D98" s="507"/>
      <c r="E98" s="299" t="s">
        <v>14</v>
      </c>
      <c r="F98" s="299" t="s">
        <v>14</v>
      </c>
      <c r="G98" s="625">
        <v>0</v>
      </c>
      <c r="H98" s="626"/>
      <c r="I98" s="626"/>
      <c r="J98" s="626"/>
      <c r="M98" s="93"/>
    </row>
    <row r="99" spans="1:13" ht="15.75" x14ac:dyDescent="0.25">
      <c r="A99" s="433" t="s">
        <v>368</v>
      </c>
      <c r="B99" s="433"/>
      <c r="C99" s="433"/>
      <c r="D99" s="433"/>
      <c r="E99" s="433"/>
      <c r="F99" s="433"/>
      <c r="G99" s="433"/>
      <c r="H99" s="433"/>
      <c r="I99" s="433"/>
      <c r="J99" s="433"/>
      <c r="M99" s="93"/>
    </row>
    <row r="100" spans="1:13" ht="25.5" x14ac:dyDescent="0.25">
      <c r="A100" s="288" t="s">
        <v>1</v>
      </c>
      <c r="B100" s="402" t="s">
        <v>15</v>
      </c>
      <c r="C100" s="402"/>
      <c r="D100" s="402"/>
      <c r="E100" s="490" t="s">
        <v>64</v>
      </c>
      <c r="F100" s="492"/>
      <c r="G100" s="402" t="s">
        <v>65</v>
      </c>
      <c r="H100" s="402"/>
      <c r="I100" s="402"/>
      <c r="J100" s="402"/>
      <c r="M100" s="93"/>
    </row>
    <row r="101" spans="1:13" x14ac:dyDescent="0.25">
      <c r="A101" s="288">
        <v>1</v>
      </c>
      <c r="B101" s="402">
        <v>2</v>
      </c>
      <c r="C101" s="402"/>
      <c r="D101" s="402"/>
      <c r="E101" s="490">
        <v>3</v>
      </c>
      <c r="F101" s="492"/>
      <c r="G101" s="402">
        <v>4</v>
      </c>
      <c r="H101" s="402"/>
      <c r="I101" s="402"/>
      <c r="J101" s="402"/>
      <c r="M101" s="93"/>
    </row>
    <row r="102" spans="1:13" x14ac:dyDescent="0.25">
      <c r="A102" s="298">
        <v>1</v>
      </c>
      <c r="B102" s="661" t="s">
        <v>383</v>
      </c>
      <c r="C102" s="662"/>
      <c r="D102" s="663"/>
      <c r="E102" s="472"/>
      <c r="F102" s="464"/>
      <c r="G102" s="664">
        <f>G116</f>
        <v>292550</v>
      </c>
      <c r="H102" s="463"/>
      <c r="I102" s="463"/>
      <c r="J102" s="464"/>
      <c r="M102" s="93"/>
    </row>
    <row r="103" spans="1:13" x14ac:dyDescent="0.25">
      <c r="A103" s="375"/>
      <c r="B103" s="656" t="s">
        <v>583</v>
      </c>
      <c r="C103" s="656"/>
      <c r="D103" s="656"/>
      <c r="E103" s="656"/>
      <c r="F103" s="656"/>
      <c r="G103" s="656"/>
      <c r="H103" s="656"/>
      <c r="I103" s="657">
        <f>I104</f>
        <v>40000</v>
      </c>
      <c r="J103" s="658"/>
      <c r="K103" s="381"/>
      <c r="L103" s="381"/>
      <c r="M103" s="93"/>
    </row>
    <row r="104" spans="1:13" x14ac:dyDescent="0.25">
      <c r="A104" s="301" t="s">
        <v>70</v>
      </c>
      <c r="B104" s="510" t="s">
        <v>584</v>
      </c>
      <c r="C104" s="510"/>
      <c r="D104" s="510"/>
      <c r="E104" s="496">
        <v>1</v>
      </c>
      <c r="F104" s="497"/>
      <c r="G104" s="676">
        <v>40000</v>
      </c>
      <c r="H104" s="676"/>
      <c r="I104" s="549">
        <f>E104*G104</f>
        <v>40000</v>
      </c>
      <c r="J104" s="550"/>
      <c r="K104" s="381"/>
      <c r="L104" s="381"/>
      <c r="M104" s="93"/>
    </row>
    <row r="105" spans="1:13" s="320" customFormat="1" x14ac:dyDescent="0.25">
      <c r="A105" s="369"/>
      <c r="B105" s="606" t="s">
        <v>585</v>
      </c>
      <c r="C105" s="606"/>
      <c r="D105" s="606"/>
      <c r="E105" s="606"/>
      <c r="F105" s="606"/>
      <c r="G105" s="606"/>
      <c r="H105" s="606"/>
      <c r="I105" s="607">
        <f>SUM(I106:J108)</f>
        <v>91500</v>
      </c>
      <c r="J105" s="608"/>
      <c r="K105" s="370"/>
      <c r="L105" s="370"/>
    </row>
    <row r="106" spans="1:13" s="320" customFormat="1" x14ac:dyDescent="0.25">
      <c r="A106" s="291">
        <v>1</v>
      </c>
      <c r="B106" s="534" t="s">
        <v>586</v>
      </c>
      <c r="C106" s="534"/>
      <c r="D106" s="534"/>
      <c r="E106" s="602">
        <v>2</v>
      </c>
      <c r="F106" s="602"/>
      <c r="G106" s="684">
        <f>9000+10000</f>
        <v>19000</v>
      </c>
      <c r="H106" s="684"/>
      <c r="I106" s="603">
        <f>E106*G106</f>
        <v>38000</v>
      </c>
      <c r="J106" s="604"/>
      <c r="K106" s="370"/>
      <c r="L106" s="370"/>
    </row>
    <row r="107" spans="1:13" s="320" customFormat="1" x14ac:dyDescent="0.25">
      <c r="A107" s="291">
        <v>2</v>
      </c>
      <c r="B107" s="534" t="s">
        <v>587</v>
      </c>
      <c r="C107" s="534"/>
      <c r="D107" s="534"/>
      <c r="E107" s="602">
        <v>1</v>
      </c>
      <c r="F107" s="602"/>
      <c r="G107" s="684">
        <f>4000+9500</f>
        <v>13500</v>
      </c>
      <c r="H107" s="684"/>
      <c r="I107" s="603">
        <f>E107*G107</f>
        <v>13500</v>
      </c>
      <c r="J107" s="604"/>
      <c r="K107" s="370"/>
      <c r="L107" s="370"/>
    </row>
    <row r="108" spans="1:13" s="320" customFormat="1" x14ac:dyDescent="0.25">
      <c r="A108" s="291">
        <v>3</v>
      </c>
      <c r="B108" s="534" t="s">
        <v>588</v>
      </c>
      <c r="C108" s="534"/>
      <c r="D108" s="534"/>
      <c r="E108" s="602">
        <v>2</v>
      </c>
      <c r="F108" s="602"/>
      <c r="G108" s="684">
        <v>20000</v>
      </c>
      <c r="H108" s="684"/>
      <c r="I108" s="603">
        <f>E108*G108</f>
        <v>40000</v>
      </c>
      <c r="J108" s="604"/>
      <c r="K108" s="370"/>
      <c r="L108" s="370"/>
    </row>
    <row r="109" spans="1:13" s="320" customFormat="1" x14ac:dyDescent="0.25">
      <c r="A109" s="369"/>
      <c r="B109" s="606" t="s">
        <v>589</v>
      </c>
      <c r="C109" s="606"/>
      <c r="D109" s="606"/>
      <c r="E109" s="606"/>
      <c r="F109" s="606"/>
      <c r="G109" s="606"/>
      <c r="H109" s="606"/>
      <c r="I109" s="607">
        <f>SUM(I110:J112)</f>
        <v>81050</v>
      </c>
      <c r="J109" s="610"/>
      <c r="K109" s="370"/>
      <c r="L109" s="370"/>
    </row>
    <row r="110" spans="1:13" s="320" customFormat="1" x14ac:dyDescent="0.25">
      <c r="A110" s="291">
        <v>1</v>
      </c>
      <c r="B110" s="599" t="s">
        <v>590</v>
      </c>
      <c r="C110" s="600"/>
      <c r="D110" s="601"/>
      <c r="E110" s="670">
        <v>1</v>
      </c>
      <c r="F110" s="671"/>
      <c r="G110" s="672">
        <v>55100</v>
      </c>
      <c r="H110" s="673"/>
      <c r="I110" s="674">
        <f>E110*G110</f>
        <v>55100</v>
      </c>
      <c r="J110" s="675"/>
      <c r="K110" s="370"/>
      <c r="L110" s="370"/>
    </row>
    <row r="111" spans="1:13" s="320" customFormat="1" x14ac:dyDescent="0.25">
      <c r="A111" s="291">
        <v>2</v>
      </c>
      <c r="B111" s="599" t="s">
        <v>591</v>
      </c>
      <c r="C111" s="600"/>
      <c r="D111" s="601"/>
      <c r="E111" s="670">
        <v>1</v>
      </c>
      <c r="F111" s="671"/>
      <c r="G111" s="672">
        <v>6300</v>
      </c>
      <c r="H111" s="673"/>
      <c r="I111" s="674">
        <f>E111*G111</f>
        <v>6300</v>
      </c>
      <c r="J111" s="675"/>
      <c r="K111" s="370"/>
      <c r="L111" s="370"/>
    </row>
    <row r="112" spans="1:13" s="320" customFormat="1" x14ac:dyDescent="0.25">
      <c r="A112" s="291">
        <v>3</v>
      </c>
      <c r="B112" s="599" t="s">
        <v>588</v>
      </c>
      <c r="C112" s="600"/>
      <c r="D112" s="601"/>
      <c r="E112" s="670">
        <v>4</v>
      </c>
      <c r="F112" s="671"/>
      <c r="G112" s="672">
        <v>4912.5</v>
      </c>
      <c r="H112" s="673"/>
      <c r="I112" s="674">
        <f t="shared" ref="I112" si="1">E112*G112</f>
        <v>19650</v>
      </c>
      <c r="J112" s="675"/>
      <c r="K112" s="370"/>
      <c r="L112" s="370"/>
    </row>
    <row r="113" spans="1:13" s="320" customFormat="1" x14ac:dyDescent="0.25">
      <c r="A113" s="369"/>
      <c r="B113" s="606" t="s">
        <v>592</v>
      </c>
      <c r="C113" s="606"/>
      <c r="D113" s="606"/>
      <c r="E113" s="606"/>
      <c r="F113" s="606"/>
      <c r="G113" s="606"/>
      <c r="H113" s="606"/>
      <c r="I113" s="607">
        <f>I114+I115</f>
        <v>80000</v>
      </c>
      <c r="J113" s="608"/>
      <c r="K113" s="370"/>
      <c r="L113" s="370"/>
    </row>
    <row r="114" spans="1:13" s="320" customFormat="1" x14ac:dyDescent="0.25">
      <c r="A114" s="291" t="s">
        <v>70</v>
      </c>
      <c r="B114" s="534" t="s">
        <v>593</v>
      </c>
      <c r="C114" s="534"/>
      <c r="D114" s="534"/>
      <c r="E114" s="482">
        <v>1</v>
      </c>
      <c r="F114" s="483"/>
      <c r="G114" s="605">
        <v>57000</v>
      </c>
      <c r="H114" s="605"/>
      <c r="I114" s="603">
        <v>57000</v>
      </c>
      <c r="J114" s="604"/>
      <c r="K114" s="370"/>
      <c r="L114" s="370"/>
    </row>
    <row r="115" spans="1:13" s="320" customFormat="1" x14ac:dyDescent="0.25">
      <c r="A115" s="291" t="s">
        <v>70</v>
      </c>
      <c r="B115" s="534" t="s">
        <v>594</v>
      </c>
      <c r="C115" s="534"/>
      <c r="D115" s="534"/>
      <c r="E115" s="482">
        <v>1</v>
      </c>
      <c r="F115" s="483"/>
      <c r="G115" s="605">
        <v>23000</v>
      </c>
      <c r="H115" s="605"/>
      <c r="I115" s="603">
        <v>23000</v>
      </c>
      <c r="J115" s="604"/>
      <c r="K115" s="370"/>
      <c r="L115" s="370"/>
    </row>
    <row r="116" spans="1:13" s="320" customFormat="1" ht="15.75" x14ac:dyDescent="0.25">
      <c r="A116" s="332"/>
      <c r="B116" s="685" t="s">
        <v>13</v>
      </c>
      <c r="C116" s="685"/>
      <c r="D116" s="685"/>
      <c r="E116" s="576" t="s">
        <v>14</v>
      </c>
      <c r="F116" s="577"/>
      <c r="G116" s="536">
        <f>I105+I109+I113+I103</f>
        <v>292550</v>
      </c>
      <c r="H116" s="537"/>
      <c r="I116" s="537"/>
      <c r="J116" s="537"/>
      <c r="K116" s="384"/>
      <c r="L116" s="384">
        <f>SUM(L102:L103)</f>
        <v>0</v>
      </c>
    </row>
    <row r="117" spans="1:13" ht="15.75" x14ac:dyDescent="0.25">
      <c r="A117" s="569" t="s">
        <v>389</v>
      </c>
      <c r="B117" s="569"/>
      <c r="C117" s="569"/>
      <c r="D117" s="569"/>
      <c r="E117" s="569"/>
      <c r="F117" s="569"/>
      <c r="G117" s="569"/>
      <c r="H117" s="569"/>
      <c r="I117" s="569"/>
      <c r="J117" s="569"/>
      <c r="M117" s="93"/>
    </row>
    <row r="118" spans="1:13" ht="25.5" x14ac:dyDescent="0.25">
      <c r="A118" s="288" t="s">
        <v>1</v>
      </c>
      <c r="B118" s="402" t="s">
        <v>15</v>
      </c>
      <c r="C118" s="402"/>
      <c r="D118" s="402"/>
      <c r="E118" s="490" t="s">
        <v>64</v>
      </c>
      <c r="F118" s="492"/>
      <c r="G118" s="402" t="s">
        <v>65</v>
      </c>
      <c r="H118" s="402"/>
      <c r="I118" s="402"/>
      <c r="J118" s="402"/>
      <c r="M118" s="93"/>
    </row>
    <row r="119" spans="1:13" x14ac:dyDescent="0.25">
      <c r="A119" s="288">
        <v>1</v>
      </c>
      <c r="B119" s="402">
        <v>2</v>
      </c>
      <c r="C119" s="402"/>
      <c r="D119" s="402"/>
      <c r="E119" s="490">
        <v>3</v>
      </c>
      <c r="F119" s="492"/>
      <c r="G119" s="402">
        <v>4</v>
      </c>
      <c r="H119" s="402"/>
      <c r="I119" s="402"/>
      <c r="J119" s="402"/>
      <c r="M119" s="93"/>
    </row>
    <row r="120" spans="1:13" x14ac:dyDescent="0.25">
      <c r="A120" s="298">
        <v>1</v>
      </c>
      <c r="B120" s="661" t="s">
        <v>383</v>
      </c>
      <c r="C120" s="662"/>
      <c r="D120" s="663"/>
      <c r="E120" s="472"/>
      <c r="F120" s="464"/>
      <c r="G120" s="664">
        <f>G122</f>
        <v>0</v>
      </c>
      <c r="H120" s="463"/>
      <c r="I120" s="463"/>
      <c r="J120" s="464"/>
      <c r="M120" s="93"/>
    </row>
    <row r="121" spans="1:13" x14ac:dyDescent="0.25">
      <c r="A121" s="301" t="s">
        <v>70</v>
      </c>
      <c r="B121" s="551"/>
      <c r="C121" s="551"/>
      <c r="D121" s="551"/>
      <c r="E121" s="301"/>
      <c r="F121" s="301"/>
      <c r="G121" s="611"/>
      <c r="H121" s="612"/>
      <c r="I121" s="612"/>
      <c r="J121" s="613"/>
      <c r="M121" s="93"/>
    </row>
    <row r="122" spans="1:13" ht="15.75" x14ac:dyDescent="0.25">
      <c r="A122" s="106"/>
      <c r="B122" s="586" t="s">
        <v>13</v>
      </c>
      <c r="C122" s="586"/>
      <c r="D122" s="586"/>
      <c r="E122" s="172" t="s">
        <v>14</v>
      </c>
      <c r="F122" s="172" t="s">
        <v>14</v>
      </c>
      <c r="G122" s="625">
        <f>SUM(G121:G121)</f>
        <v>0</v>
      </c>
      <c r="H122" s="626"/>
      <c r="I122" s="626"/>
      <c r="J122" s="626"/>
      <c r="M122" s="93"/>
    </row>
    <row r="123" spans="1:13" s="121" customFormat="1" ht="15.75" x14ac:dyDescent="0.25">
      <c r="A123" s="433" t="s">
        <v>387</v>
      </c>
      <c r="B123" s="433"/>
      <c r="C123" s="433"/>
      <c r="D123" s="433"/>
      <c r="E123" s="433"/>
      <c r="F123" s="433"/>
      <c r="G123" s="433"/>
      <c r="H123" s="433"/>
      <c r="I123" s="433"/>
      <c r="J123" s="433"/>
    </row>
    <row r="124" spans="1:13" s="121" customFormat="1" ht="25.5" x14ac:dyDescent="0.25">
      <c r="A124" s="288" t="s">
        <v>1</v>
      </c>
      <c r="B124" s="402" t="s">
        <v>15</v>
      </c>
      <c r="C124" s="402"/>
      <c r="D124" s="402"/>
      <c r="E124" s="402" t="s">
        <v>58</v>
      </c>
      <c r="F124" s="402"/>
      <c r="G124" s="402" t="s">
        <v>66</v>
      </c>
      <c r="H124" s="402"/>
      <c r="I124" s="490" t="s">
        <v>264</v>
      </c>
      <c r="J124" s="492"/>
    </row>
    <row r="125" spans="1:13" s="121" customFormat="1" x14ac:dyDescent="0.25">
      <c r="A125" s="288">
        <v>1</v>
      </c>
      <c r="B125" s="402">
        <v>2</v>
      </c>
      <c r="C125" s="402"/>
      <c r="D125" s="402"/>
      <c r="E125" s="402">
        <v>3</v>
      </c>
      <c r="F125" s="402"/>
      <c r="G125" s="402">
        <v>4</v>
      </c>
      <c r="H125" s="402"/>
      <c r="I125" s="402">
        <v>5</v>
      </c>
      <c r="J125" s="402"/>
    </row>
    <row r="126" spans="1:13" s="119" customFormat="1" x14ac:dyDescent="0.25">
      <c r="A126" s="298">
        <v>1</v>
      </c>
      <c r="B126" s="661" t="s">
        <v>384</v>
      </c>
      <c r="C126" s="662"/>
      <c r="D126" s="663"/>
      <c r="E126" s="123"/>
      <c r="F126" s="122"/>
      <c r="G126" s="522"/>
      <c r="H126" s="522"/>
      <c r="I126" s="563">
        <f>I134</f>
        <v>49150</v>
      </c>
      <c r="J126" s="564"/>
    </row>
    <row r="127" spans="1:13" s="320" customFormat="1" x14ac:dyDescent="0.25">
      <c r="A127" s="369"/>
      <c r="B127" s="609" t="s">
        <v>583</v>
      </c>
      <c r="C127" s="606"/>
      <c r="D127" s="606"/>
      <c r="E127" s="606"/>
      <c r="F127" s="606"/>
      <c r="G127" s="606"/>
      <c r="H127" s="608"/>
      <c r="I127" s="607">
        <f>I128</f>
        <v>4000</v>
      </c>
      <c r="J127" s="610"/>
      <c r="K127" s="368"/>
    </row>
    <row r="128" spans="1:13" s="320" customFormat="1" x14ac:dyDescent="0.25">
      <c r="A128" s="291">
        <v>1</v>
      </c>
      <c r="B128" s="599" t="s">
        <v>596</v>
      </c>
      <c r="C128" s="600"/>
      <c r="D128" s="601"/>
      <c r="E128" s="670">
        <v>1</v>
      </c>
      <c r="F128" s="671"/>
      <c r="G128" s="672">
        <v>4000</v>
      </c>
      <c r="H128" s="673"/>
      <c r="I128" s="674">
        <f>E128*G128</f>
        <v>4000</v>
      </c>
      <c r="J128" s="675"/>
      <c r="K128" s="368"/>
    </row>
    <row r="129" spans="1:13" s="320" customFormat="1" x14ac:dyDescent="0.25">
      <c r="A129" s="369"/>
      <c r="B129" s="609" t="s">
        <v>597</v>
      </c>
      <c r="C129" s="606"/>
      <c r="D129" s="606"/>
      <c r="E129" s="606"/>
      <c r="F129" s="606"/>
      <c r="G129" s="606"/>
      <c r="H129" s="608"/>
      <c r="I129" s="607">
        <f>SUM(I130:J130)</f>
        <v>13000</v>
      </c>
      <c r="J129" s="610"/>
      <c r="K129" s="368"/>
    </row>
    <row r="130" spans="1:13" s="320" customFormat="1" x14ac:dyDescent="0.25">
      <c r="A130" s="291">
        <v>1</v>
      </c>
      <c r="B130" s="599" t="s">
        <v>598</v>
      </c>
      <c r="C130" s="600"/>
      <c r="D130" s="601"/>
      <c r="E130" s="670">
        <v>1</v>
      </c>
      <c r="F130" s="671"/>
      <c r="G130" s="672">
        <v>13000</v>
      </c>
      <c r="H130" s="673"/>
      <c r="I130" s="674">
        <f>G130</f>
        <v>13000</v>
      </c>
      <c r="J130" s="675"/>
      <c r="K130" s="368"/>
    </row>
    <row r="131" spans="1:13" s="320" customFormat="1" x14ac:dyDescent="0.25">
      <c r="A131" s="369"/>
      <c r="B131" s="609" t="s">
        <v>589</v>
      </c>
      <c r="C131" s="606"/>
      <c r="D131" s="606"/>
      <c r="E131" s="606"/>
      <c r="F131" s="606"/>
      <c r="G131" s="606"/>
      <c r="H131" s="608"/>
      <c r="I131" s="607">
        <f>SUM(I132:J133)</f>
        <v>32150</v>
      </c>
      <c r="J131" s="610"/>
      <c r="K131" s="368"/>
    </row>
    <row r="132" spans="1:13" s="320" customFormat="1" x14ac:dyDescent="0.25">
      <c r="A132" s="291">
        <v>1</v>
      </c>
      <c r="B132" s="599" t="s">
        <v>596</v>
      </c>
      <c r="C132" s="600"/>
      <c r="D132" s="601"/>
      <c r="E132" s="670">
        <v>1</v>
      </c>
      <c r="F132" s="671"/>
      <c r="G132" s="672">
        <v>12150</v>
      </c>
      <c r="H132" s="673"/>
      <c r="I132" s="674">
        <f>G132</f>
        <v>12150</v>
      </c>
      <c r="J132" s="675"/>
      <c r="K132" s="368"/>
    </row>
    <row r="133" spans="1:13" s="320" customFormat="1" x14ac:dyDescent="0.25">
      <c r="A133" s="291">
        <v>2</v>
      </c>
      <c r="B133" s="599" t="s">
        <v>599</v>
      </c>
      <c r="C133" s="600"/>
      <c r="D133" s="601"/>
      <c r="E133" s="670">
        <v>1</v>
      </c>
      <c r="F133" s="671"/>
      <c r="G133" s="672">
        <v>20000</v>
      </c>
      <c r="H133" s="673"/>
      <c r="I133" s="674">
        <f>G133</f>
        <v>20000</v>
      </c>
      <c r="J133" s="675"/>
      <c r="K133" s="368"/>
    </row>
    <row r="134" spans="1:13" s="320" customFormat="1" x14ac:dyDescent="0.25">
      <c r="A134" s="291"/>
      <c r="B134" s="535" t="s">
        <v>13</v>
      </c>
      <c r="C134" s="535"/>
      <c r="D134" s="535"/>
      <c r="E134" s="686"/>
      <c r="F134" s="686"/>
      <c r="G134" s="418" t="s">
        <v>14</v>
      </c>
      <c r="H134" s="418"/>
      <c r="I134" s="477">
        <f>I127+I129+I131</f>
        <v>49150</v>
      </c>
      <c r="J134" s="478"/>
    </row>
    <row r="135" spans="1:13" ht="15.75" x14ac:dyDescent="0.25">
      <c r="A135" s="489" t="s">
        <v>388</v>
      </c>
      <c r="B135" s="489"/>
      <c r="C135" s="489"/>
      <c r="D135" s="489"/>
      <c r="E135" s="489"/>
      <c r="F135" s="489"/>
      <c r="G135" s="489"/>
      <c r="H135" s="489"/>
      <c r="I135" s="489"/>
      <c r="J135" s="489"/>
      <c r="M135" s="93"/>
    </row>
    <row r="136" spans="1:13" ht="15.75" x14ac:dyDescent="0.25">
      <c r="A136" s="669" t="s">
        <v>369</v>
      </c>
      <c r="B136" s="669"/>
      <c r="C136" s="669"/>
      <c r="D136" s="669"/>
      <c r="E136" s="669"/>
      <c r="F136" s="669"/>
      <c r="G136" s="669"/>
      <c r="H136" s="669"/>
      <c r="I136" s="669"/>
      <c r="J136" s="669"/>
      <c r="M136" s="93"/>
    </row>
    <row r="137" spans="1:13" ht="25.5" x14ac:dyDescent="0.25">
      <c r="A137" s="288" t="s">
        <v>1</v>
      </c>
      <c r="B137" s="402" t="s">
        <v>15</v>
      </c>
      <c r="C137" s="402"/>
      <c r="D137" s="402"/>
      <c r="E137" s="402" t="s">
        <v>58</v>
      </c>
      <c r="F137" s="402"/>
      <c r="G137" s="402" t="s">
        <v>66</v>
      </c>
      <c r="H137" s="402"/>
      <c r="I137" s="490" t="s">
        <v>264</v>
      </c>
      <c r="J137" s="492"/>
      <c r="M137" s="93"/>
    </row>
    <row r="138" spans="1:13" x14ac:dyDescent="0.25">
      <c r="A138" s="288">
        <v>1</v>
      </c>
      <c r="B138" s="402">
        <v>2</v>
      </c>
      <c r="C138" s="402"/>
      <c r="D138" s="402"/>
      <c r="E138" s="402">
        <v>3</v>
      </c>
      <c r="F138" s="402"/>
      <c r="G138" s="402">
        <v>4</v>
      </c>
      <c r="H138" s="402"/>
      <c r="I138" s="402">
        <v>5</v>
      </c>
      <c r="J138" s="402"/>
      <c r="K138" s="208"/>
      <c r="L138" s="385"/>
      <c r="M138" s="93"/>
    </row>
    <row r="139" spans="1:13" s="320" customFormat="1" x14ac:dyDescent="0.25">
      <c r="A139" s="369"/>
      <c r="B139" s="609" t="s">
        <v>583</v>
      </c>
      <c r="C139" s="606"/>
      <c r="D139" s="606"/>
      <c r="E139" s="606"/>
      <c r="F139" s="606"/>
      <c r="G139" s="606"/>
      <c r="H139" s="608"/>
      <c r="I139" s="607">
        <f>I140</f>
        <v>23000</v>
      </c>
      <c r="J139" s="610"/>
      <c r="K139" s="368"/>
    </row>
    <row r="140" spans="1:13" x14ac:dyDescent="0.25">
      <c r="A140" s="301">
        <v>1</v>
      </c>
      <c r="B140" s="455" t="s">
        <v>650</v>
      </c>
      <c r="C140" s="456"/>
      <c r="D140" s="457"/>
      <c r="E140" s="680">
        <v>100</v>
      </c>
      <c r="F140" s="681"/>
      <c r="G140" s="552">
        <v>230</v>
      </c>
      <c r="H140" s="552"/>
      <c r="I140" s="678">
        <f>E140*G140</f>
        <v>23000</v>
      </c>
      <c r="J140" s="545"/>
      <c r="M140" s="93"/>
    </row>
    <row r="141" spans="1:13" s="320" customFormat="1" x14ac:dyDescent="0.25">
      <c r="A141" s="369"/>
      <c r="B141" s="606" t="s">
        <v>585</v>
      </c>
      <c r="C141" s="606"/>
      <c r="D141" s="606"/>
      <c r="E141" s="606"/>
      <c r="F141" s="606"/>
      <c r="G141" s="606"/>
      <c r="H141" s="606"/>
      <c r="I141" s="607">
        <f>I142</f>
        <v>12000</v>
      </c>
      <c r="J141" s="608"/>
      <c r="K141" s="370"/>
      <c r="L141" s="370"/>
    </row>
    <row r="142" spans="1:13" x14ac:dyDescent="0.25">
      <c r="A142" s="301">
        <v>2</v>
      </c>
      <c r="B142" s="455" t="s">
        <v>651</v>
      </c>
      <c r="C142" s="456"/>
      <c r="D142" s="457"/>
      <c r="E142" s="680">
        <v>20</v>
      </c>
      <c r="F142" s="681"/>
      <c r="G142" s="517">
        <v>600</v>
      </c>
      <c r="H142" s="518"/>
      <c r="I142" s="682">
        <f>E142*G142</f>
        <v>12000</v>
      </c>
      <c r="J142" s="683"/>
      <c r="M142" s="93"/>
    </row>
    <row r="143" spans="1:13" x14ac:dyDescent="0.25">
      <c r="A143" s="301"/>
      <c r="B143" s="507" t="s">
        <v>13</v>
      </c>
      <c r="C143" s="507"/>
      <c r="D143" s="507"/>
      <c r="E143" s="590"/>
      <c r="F143" s="590"/>
      <c r="G143" s="508" t="s">
        <v>14</v>
      </c>
      <c r="H143" s="508"/>
      <c r="I143" s="677">
        <f>I139+I141</f>
        <v>35000</v>
      </c>
      <c r="J143" s="677"/>
      <c r="M143" s="93"/>
    </row>
    <row r="144" spans="1:13" ht="15.75" x14ac:dyDescent="0.25">
      <c r="A144" s="669" t="s">
        <v>365</v>
      </c>
      <c r="B144" s="669"/>
      <c r="C144" s="669"/>
      <c r="D144" s="669"/>
      <c r="E144" s="669"/>
      <c r="F144" s="669"/>
      <c r="G144" s="669"/>
      <c r="H144" s="669"/>
      <c r="I144" s="669"/>
      <c r="J144" s="669"/>
      <c r="M144" s="93"/>
    </row>
    <row r="145" spans="1:13" ht="25.5" x14ac:dyDescent="0.25">
      <c r="A145" s="288" t="s">
        <v>1</v>
      </c>
      <c r="B145" s="402" t="s">
        <v>15</v>
      </c>
      <c r="C145" s="402"/>
      <c r="D145" s="402"/>
      <c r="E145" s="402" t="s">
        <v>58</v>
      </c>
      <c r="F145" s="402"/>
      <c r="G145" s="402" t="s">
        <v>66</v>
      </c>
      <c r="H145" s="402"/>
      <c r="I145" s="490" t="s">
        <v>264</v>
      </c>
      <c r="J145" s="492"/>
      <c r="M145" s="93"/>
    </row>
    <row r="146" spans="1:13" x14ac:dyDescent="0.25">
      <c r="A146" s="288">
        <v>1</v>
      </c>
      <c r="B146" s="402">
        <v>2</v>
      </c>
      <c r="C146" s="402"/>
      <c r="D146" s="402"/>
      <c r="E146" s="402">
        <v>3</v>
      </c>
      <c r="F146" s="402"/>
      <c r="G146" s="402">
        <v>4</v>
      </c>
      <c r="H146" s="402"/>
      <c r="I146" s="402">
        <v>5</v>
      </c>
      <c r="J146" s="402"/>
      <c r="M146" s="93"/>
    </row>
    <row r="147" spans="1:13" s="320" customFormat="1" x14ac:dyDescent="0.25">
      <c r="A147" s="369"/>
      <c r="B147" s="609" t="s">
        <v>583</v>
      </c>
      <c r="C147" s="606"/>
      <c r="D147" s="606"/>
      <c r="E147" s="606"/>
      <c r="F147" s="606"/>
      <c r="G147" s="606"/>
      <c r="H147" s="608"/>
      <c r="I147" s="607">
        <f>I148+I149+I150+I151+I152+I153+I154+I155+I156+I157+I158</f>
        <v>31310</v>
      </c>
      <c r="J147" s="610"/>
      <c r="K147" s="368"/>
    </row>
    <row r="148" spans="1:13" s="320" customFormat="1" x14ac:dyDescent="0.25">
      <c r="A148" s="291">
        <v>1</v>
      </c>
      <c r="B148" s="534" t="s">
        <v>653</v>
      </c>
      <c r="C148" s="534"/>
      <c r="D148" s="534"/>
      <c r="E148" s="602">
        <v>100</v>
      </c>
      <c r="F148" s="602"/>
      <c r="G148" s="417">
        <v>15</v>
      </c>
      <c r="H148" s="417"/>
      <c r="I148" s="603">
        <f t="shared" ref="I148:I158" si="2">E148*G148</f>
        <v>1500</v>
      </c>
      <c r="J148" s="604"/>
      <c r="K148" s="368"/>
    </row>
    <row r="149" spans="1:13" s="320" customFormat="1" x14ac:dyDescent="0.25">
      <c r="A149" s="291">
        <v>2</v>
      </c>
      <c r="B149" s="534" t="s">
        <v>654</v>
      </c>
      <c r="C149" s="534"/>
      <c r="D149" s="534"/>
      <c r="E149" s="602">
        <v>1</v>
      </c>
      <c r="F149" s="602"/>
      <c r="G149" s="417">
        <v>1400</v>
      </c>
      <c r="H149" s="417"/>
      <c r="I149" s="603">
        <f t="shared" si="2"/>
        <v>1400</v>
      </c>
      <c r="J149" s="604"/>
      <c r="K149" s="368"/>
    </row>
    <row r="150" spans="1:13" s="320" customFormat="1" x14ac:dyDescent="0.25">
      <c r="A150" s="291">
        <v>3</v>
      </c>
      <c r="B150" s="534" t="s">
        <v>655</v>
      </c>
      <c r="C150" s="534"/>
      <c r="D150" s="534"/>
      <c r="E150" s="602">
        <v>4</v>
      </c>
      <c r="F150" s="602"/>
      <c r="G150" s="417">
        <v>450</v>
      </c>
      <c r="H150" s="417"/>
      <c r="I150" s="603">
        <f t="shared" si="2"/>
        <v>1800</v>
      </c>
      <c r="J150" s="604"/>
      <c r="K150" s="368"/>
    </row>
    <row r="151" spans="1:13" s="320" customFormat="1" x14ac:dyDescent="0.25">
      <c r="A151" s="291">
        <v>4</v>
      </c>
      <c r="B151" s="534" t="s">
        <v>656</v>
      </c>
      <c r="C151" s="534"/>
      <c r="D151" s="534"/>
      <c r="E151" s="602">
        <v>100</v>
      </c>
      <c r="F151" s="602"/>
      <c r="G151" s="417">
        <v>45</v>
      </c>
      <c r="H151" s="417"/>
      <c r="I151" s="603">
        <f t="shared" si="2"/>
        <v>4500</v>
      </c>
      <c r="J151" s="604"/>
      <c r="K151" s="368"/>
    </row>
    <row r="152" spans="1:13" s="320" customFormat="1" x14ac:dyDescent="0.25">
      <c r="A152" s="291">
        <v>5</v>
      </c>
      <c r="B152" s="534" t="s">
        <v>657</v>
      </c>
      <c r="C152" s="534"/>
      <c r="D152" s="534"/>
      <c r="E152" s="602">
        <v>100</v>
      </c>
      <c r="F152" s="602"/>
      <c r="G152" s="417">
        <v>42</v>
      </c>
      <c r="H152" s="417"/>
      <c r="I152" s="603">
        <f t="shared" si="2"/>
        <v>4200</v>
      </c>
      <c r="J152" s="604"/>
      <c r="K152" s="368"/>
    </row>
    <row r="153" spans="1:13" s="320" customFormat="1" x14ac:dyDescent="0.25">
      <c r="A153" s="291">
        <v>6</v>
      </c>
      <c r="B153" s="534" t="s">
        <v>662</v>
      </c>
      <c r="C153" s="534"/>
      <c r="D153" s="534"/>
      <c r="E153" s="602">
        <v>1</v>
      </c>
      <c r="F153" s="602"/>
      <c r="G153" s="417">
        <v>930</v>
      </c>
      <c r="H153" s="417"/>
      <c r="I153" s="603">
        <f t="shared" si="2"/>
        <v>930</v>
      </c>
      <c r="J153" s="604"/>
      <c r="K153" s="368"/>
    </row>
    <row r="154" spans="1:13" s="320" customFormat="1" x14ac:dyDescent="0.25">
      <c r="A154" s="291">
        <v>7</v>
      </c>
      <c r="B154" s="534" t="s">
        <v>663</v>
      </c>
      <c r="C154" s="534"/>
      <c r="D154" s="534"/>
      <c r="E154" s="602">
        <v>1</v>
      </c>
      <c r="F154" s="602"/>
      <c r="G154" s="417">
        <v>280</v>
      </c>
      <c r="H154" s="417"/>
      <c r="I154" s="603">
        <f t="shared" si="2"/>
        <v>280</v>
      </c>
      <c r="J154" s="604"/>
      <c r="K154" s="368"/>
    </row>
    <row r="155" spans="1:13" s="320" customFormat="1" x14ac:dyDescent="0.25">
      <c r="A155" s="291">
        <v>8</v>
      </c>
      <c r="B155" s="534" t="s">
        <v>664</v>
      </c>
      <c r="C155" s="534"/>
      <c r="D155" s="534"/>
      <c r="E155" s="602">
        <v>10</v>
      </c>
      <c r="F155" s="602"/>
      <c r="G155" s="417">
        <v>30</v>
      </c>
      <c r="H155" s="417"/>
      <c r="I155" s="603">
        <f t="shared" si="2"/>
        <v>300</v>
      </c>
      <c r="J155" s="604"/>
      <c r="K155" s="368"/>
    </row>
    <row r="156" spans="1:13" s="320" customFormat="1" x14ac:dyDescent="0.25">
      <c r="A156" s="291">
        <v>9</v>
      </c>
      <c r="B156" s="534" t="s">
        <v>665</v>
      </c>
      <c r="C156" s="534"/>
      <c r="D156" s="534"/>
      <c r="E156" s="602">
        <v>10</v>
      </c>
      <c r="F156" s="602"/>
      <c r="G156" s="417">
        <v>60</v>
      </c>
      <c r="H156" s="417"/>
      <c r="I156" s="603">
        <f t="shared" si="2"/>
        <v>600</v>
      </c>
      <c r="J156" s="604"/>
      <c r="K156" s="368"/>
    </row>
    <row r="157" spans="1:13" s="320" customFormat="1" x14ac:dyDescent="0.25">
      <c r="A157" s="291">
        <v>10</v>
      </c>
      <c r="B157" s="534" t="s">
        <v>666</v>
      </c>
      <c r="C157" s="534"/>
      <c r="D157" s="534"/>
      <c r="E157" s="602">
        <v>1</v>
      </c>
      <c r="F157" s="602"/>
      <c r="G157" s="417">
        <v>600</v>
      </c>
      <c r="H157" s="417"/>
      <c r="I157" s="603">
        <f t="shared" si="2"/>
        <v>600</v>
      </c>
      <c r="J157" s="604"/>
      <c r="K157" s="368"/>
    </row>
    <row r="158" spans="1:13" s="320" customFormat="1" x14ac:dyDescent="0.25">
      <c r="A158" s="291">
        <v>11</v>
      </c>
      <c r="B158" s="534" t="s">
        <v>667</v>
      </c>
      <c r="C158" s="534"/>
      <c r="D158" s="534"/>
      <c r="E158" s="602">
        <v>2</v>
      </c>
      <c r="F158" s="602"/>
      <c r="G158" s="417">
        <v>7600</v>
      </c>
      <c r="H158" s="417"/>
      <c r="I158" s="603">
        <f t="shared" si="2"/>
        <v>15200</v>
      </c>
      <c r="J158" s="604"/>
      <c r="K158" s="368"/>
    </row>
    <row r="159" spans="1:13" s="320" customFormat="1" x14ac:dyDescent="0.25">
      <c r="A159" s="369"/>
      <c r="B159" s="606" t="s">
        <v>589</v>
      </c>
      <c r="C159" s="606"/>
      <c r="D159" s="606"/>
      <c r="E159" s="606"/>
      <c r="F159" s="606"/>
      <c r="G159" s="606"/>
      <c r="H159" s="606"/>
      <c r="I159" s="607">
        <f>I160+I161+I162+I163+I164+I165+I166+I167+I168+I169+I170</f>
        <v>40700</v>
      </c>
      <c r="J159" s="608"/>
      <c r="K159" s="370"/>
      <c r="L159" s="370"/>
    </row>
    <row r="160" spans="1:13" s="320" customFormat="1" x14ac:dyDescent="0.25">
      <c r="A160" s="291">
        <v>1</v>
      </c>
      <c r="B160" s="534" t="s">
        <v>657</v>
      </c>
      <c r="C160" s="534"/>
      <c r="D160" s="534"/>
      <c r="E160" s="602">
        <v>150</v>
      </c>
      <c r="F160" s="602"/>
      <c r="G160" s="417">
        <v>43</v>
      </c>
      <c r="H160" s="417"/>
      <c r="I160" s="603">
        <f t="shared" ref="I160:I170" si="3">E160*G160</f>
        <v>6450</v>
      </c>
      <c r="J160" s="604"/>
      <c r="K160" s="368"/>
    </row>
    <row r="161" spans="1:13" s="320" customFormat="1" x14ac:dyDescent="0.25">
      <c r="A161" s="291">
        <v>2</v>
      </c>
      <c r="B161" s="534" t="s">
        <v>671</v>
      </c>
      <c r="C161" s="534"/>
      <c r="D161" s="534"/>
      <c r="E161" s="602">
        <v>6</v>
      </c>
      <c r="F161" s="602"/>
      <c r="G161" s="417">
        <v>450</v>
      </c>
      <c r="H161" s="417"/>
      <c r="I161" s="603">
        <f t="shared" si="3"/>
        <v>2700</v>
      </c>
      <c r="J161" s="604"/>
      <c r="K161" s="368"/>
    </row>
    <row r="162" spans="1:13" s="320" customFormat="1" x14ac:dyDescent="0.25">
      <c r="A162" s="291">
        <v>3</v>
      </c>
      <c r="B162" s="534" t="s">
        <v>662</v>
      </c>
      <c r="C162" s="534"/>
      <c r="D162" s="534"/>
      <c r="E162" s="602">
        <v>4</v>
      </c>
      <c r="F162" s="602"/>
      <c r="G162" s="417">
        <v>950</v>
      </c>
      <c r="H162" s="417"/>
      <c r="I162" s="603">
        <f t="shared" si="3"/>
        <v>3800</v>
      </c>
      <c r="J162" s="604"/>
      <c r="K162" s="368"/>
    </row>
    <row r="163" spans="1:13" s="320" customFormat="1" x14ac:dyDescent="0.25">
      <c r="A163" s="291">
        <v>4</v>
      </c>
      <c r="B163" s="534" t="s">
        <v>672</v>
      </c>
      <c r="C163" s="534"/>
      <c r="D163" s="534"/>
      <c r="E163" s="602">
        <v>2</v>
      </c>
      <c r="F163" s="602"/>
      <c r="G163" s="417">
        <v>660</v>
      </c>
      <c r="H163" s="417"/>
      <c r="I163" s="603">
        <f t="shared" si="3"/>
        <v>1320</v>
      </c>
      <c r="J163" s="604"/>
      <c r="K163" s="368"/>
    </row>
    <row r="164" spans="1:13" s="320" customFormat="1" x14ac:dyDescent="0.25">
      <c r="A164" s="291">
        <v>5</v>
      </c>
      <c r="B164" s="534" t="s">
        <v>663</v>
      </c>
      <c r="C164" s="534"/>
      <c r="D164" s="534"/>
      <c r="E164" s="602">
        <v>10</v>
      </c>
      <c r="F164" s="602"/>
      <c r="G164" s="417">
        <v>350</v>
      </c>
      <c r="H164" s="417"/>
      <c r="I164" s="603">
        <f t="shared" si="3"/>
        <v>3500</v>
      </c>
      <c r="J164" s="604"/>
      <c r="K164" s="368"/>
    </row>
    <row r="165" spans="1:13" s="320" customFormat="1" x14ac:dyDescent="0.25">
      <c r="A165" s="291">
        <v>6</v>
      </c>
      <c r="B165" s="534" t="s">
        <v>654</v>
      </c>
      <c r="C165" s="534"/>
      <c r="D165" s="534"/>
      <c r="E165" s="602">
        <v>2</v>
      </c>
      <c r="F165" s="602"/>
      <c r="G165" s="417">
        <v>1400</v>
      </c>
      <c r="H165" s="417"/>
      <c r="I165" s="603">
        <f t="shared" si="3"/>
        <v>2800</v>
      </c>
      <c r="J165" s="604"/>
      <c r="K165" s="368"/>
    </row>
    <row r="166" spans="1:13" s="320" customFormat="1" x14ac:dyDescent="0.25">
      <c r="A166" s="291">
        <v>7</v>
      </c>
      <c r="B166" s="534" t="s">
        <v>673</v>
      </c>
      <c r="C166" s="534"/>
      <c r="D166" s="534"/>
      <c r="E166" s="602">
        <v>4</v>
      </c>
      <c r="F166" s="602"/>
      <c r="G166" s="417">
        <v>670</v>
      </c>
      <c r="H166" s="417"/>
      <c r="I166" s="603">
        <f t="shared" si="3"/>
        <v>2680</v>
      </c>
      <c r="J166" s="604"/>
      <c r="K166" s="368"/>
    </row>
    <row r="167" spans="1:13" s="320" customFormat="1" x14ac:dyDescent="0.25">
      <c r="A167" s="291">
        <v>8</v>
      </c>
      <c r="B167" s="534" t="s">
        <v>655</v>
      </c>
      <c r="C167" s="534"/>
      <c r="D167" s="534"/>
      <c r="E167" s="602">
        <v>4</v>
      </c>
      <c r="F167" s="602"/>
      <c r="G167" s="417">
        <v>350</v>
      </c>
      <c r="H167" s="417"/>
      <c r="I167" s="603">
        <f t="shared" si="3"/>
        <v>1400</v>
      </c>
      <c r="J167" s="604"/>
      <c r="K167" s="368"/>
    </row>
    <row r="168" spans="1:13" s="320" customFormat="1" x14ac:dyDescent="0.25">
      <c r="A168" s="291">
        <v>9</v>
      </c>
      <c r="B168" s="534" t="s">
        <v>674</v>
      </c>
      <c r="C168" s="534"/>
      <c r="D168" s="534"/>
      <c r="E168" s="602">
        <v>1600</v>
      </c>
      <c r="F168" s="602"/>
      <c r="G168" s="417">
        <v>4.5</v>
      </c>
      <c r="H168" s="417"/>
      <c r="I168" s="603">
        <f t="shared" si="3"/>
        <v>7200</v>
      </c>
      <c r="J168" s="604"/>
      <c r="K168" s="368"/>
    </row>
    <row r="169" spans="1:13" s="320" customFormat="1" x14ac:dyDescent="0.25">
      <c r="A169" s="291">
        <v>10</v>
      </c>
      <c r="B169" s="534" t="s">
        <v>675</v>
      </c>
      <c r="C169" s="534"/>
      <c r="D169" s="534"/>
      <c r="E169" s="602">
        <v>1600</v>
      </c>
      <c r="F169" s="602"/>
      <c r="G169" s="417">
        <v>4.5</v>
      </c>
      <c r="H169" s="417"/>
      <c r="I169" s="603">
        <f t="shared" si="3"/>
        <v>7200</v>
      </c>
      <c r="J169" s="604"/>
      <c r="K169" s="368"/>
    </row>
    <row r="170" spans="1:13" s="320" customFormat="1" x14ac:dyDescent="0.25">
      <c r="A170" s="291">
        <v>11</v>
      </c>
      <c r="B170" s="534" t="s">
        <v>676</v>
      </c>
      <c r="C170" s="534"/>
      <c r="D170" s="534"/>
      <c r="E170" s="602">
        <v>300</v>
      </c>
      <c r="F170" s="602"/>
      <c r="G170" s="417">
        <v>5.5</v>
      </c>
      <c r="H170" s="417"/>
      <c r="I170" s="603">
        <f t="shared" si="3"/>
        <v>1650</v>
      </c>
      <c r="J170" s="604"/>
      <c r="K170" s="368"/>
    </row>
    <row r="171" spans="1:13" x14ac:dyDescent="0.25">
      <c r="A171" s="301"/>
      <c r="B171" s="507" t="s">
        <v>13</v>
      </c>
      <c r="C171" s="507"/>
      <c r="D171" s="507"/>
      <c r="E171" s="590"/>
      <c r="F171" s="590"/>
      <c r="G171" s="508" t="s">
        <v>14</v>
      </c>
      <c r="H171" s="508"/>
      <c r="I171" s="677">
        <f>I147+I159</f>
        <v>72010</v>
      </c>
      <c r="J171" s="677"/>
      <c r="M171" s="93"/>
    </row>
    <row r="172" spans="1:13" ht="15.75" x14ac:dyDescent="0.25">
      <c r="A172" s="669" t="s">
        <v>649</v>
      </c>
      <c r="B172" s="669"/>
      <c r="C172" s="669"/>
      <c r="D172" s="669"/>
      <c r="E172" s="669"/>
      <c r="F172" s="669"/>
      <c r="G172" s="669"/>
      <c r="H172" s="669"/>
      <c r="I172" s="669"/>
      <c r="J172" s="669"/>
      <c r="M172" s="93"/>
    </row>
    <row r="173" spans="1:13" s="121" customFormat="1" ht="25.5" x14ac:dyDescent="0.25">
      <c r="A173" s="288" t="s">
        <v>1</v>
      </c>
      <c r="B173" s="402" t="s">
        <v>15</v>
      </c>
      <c r="C173" s="402"/>
      <c r="D173" s="402"/>
      <c r="E173" s="402" t="s">
        <v>58</v>
      </c>
      <c r="F173" s="402"/>
      <c r="G173" s="402" t="s">
        <v>66</v>
      </c>
      <c r="H173" s="402"/>
      <c r="I173" s="490" t="s">
        <v>264</v>
      </c>
      <c r="J173" s="492"/>
    </row>
    <row r="174" spans="1:13" x14ac:dyDescent="0.25">
      <c r="A174" s="288">
        <v>1</v>
      </c>
      <c r="B174" s="402">
        <v>2</v>
      </c>
      <c r="C174" s="402"/>
      <c r="D174" s="402"/>
      <c r="E174" s="402">
        <v>3</v>
      </c>
      <c r="F174" s="402"/>
      <c r="G174" s="402">
        <v>4</v>
      </c>
      <c r="H174" s="402"/>
      <c r="I174" s="402">
        <v>5</v>
      </c>
      <c r="J174" s="402"/>
      <c r="M174" s="93"/>
    </row>
    <row r="175" spans="1:13" s="320" customFormat="1" x14ac:dyDescent="0.25">
      <c r="A175" s="369"/>
      <c r="B175" s="609" t="s">
        <v>583</v>
      </c>
      <c r="C175" s="606"/>
      <c r="D175" s="606"/>
      <c r="E175" s="606"/>
      <c r="F175" s="606"/>
      <c r="G175" s="606"/>
      <c r="H175" s="608"/>
      <c r="I175" s="607">
        <f>I176+I177+I178+I179+I180+I181+I182+I183</f>
        <v>43450</v>
      </c>
      <c r="J175" s="610"/>
      <c r="K175" s="368"/>
    </row>
    <row r="176" spans="1:13" s="320" customFormat="1" x14ac:dyDescent="0.25">
      <c r="A176" s="291">
        <v>1</v>
      </c>
      <c r="B176" s="534" t="s">
        <v>658</v>
      </c>
      <c r="C176" s="534"/>
      <c r="D176" s="534"/>
      <c r="E176" s="602">
        <v>30</v>
      </c>
      <c r="F176" s="602"/>
      <c r="G176" s="417">
        <v>120</v>
      </c>
      <c r="H176" s="417"/>
      <c r="I176" s="603">
        <f t="shared" ref="I176:I183" si="4">E176*G176</f>
        <v>3600</v>
      </c>
      <c r="J176" s="604"/>
      <c r="K176" s="368"/>
    </row>
    <row r="177" spans="1:12" s="320" customFormat="1" x14ac:dyDescent="0.25">
      <c r="A177" s="291">
        <v>2</v>
      </c>
      <c r="B177" s="534" t="s">
        <v>659</v>
      </c>
      <c r="C177" s="534"/>
      <c r="D177" s="534"/>
      <c r="E177" s="602">
        <v>10</v>
      </c>
      <c r="F177" s="602"/>
      <c r="G177" s="417">
        <v>150</v>
      </c>
      <c r="H177" s="417"/>
      <c r="I177" s="603">
        <f t="shared" si="4"/>
        <v>1500</v>
      </c>
      <c r="J177" s="604"/>
      <c r="K177" s="368"/>
    </row>
    <row r="178" spans="1:12" s="320" customFormat="1" x14ac:dyDescent="0.25">
      <c r="A178" s="291">
        <v>3</v>
      </c>
      <c r="B178" s="534" t="s">
        <v>660</v>
      </c>
      <c r="C178" s="534"/>
      <c r="D178" s="534"/>
      <c r="E178" s="602">
        <v>10</v>
      </c>
      <c r="F178" s="602"/>
      <c r="G178" s="417">
        <v>100</v>
      </c>
      <c r="H178" s="417"/>
      <c r="I178" s="603">
        <f t="shared" si="4"/>
        <v>1000</v>
      </c>
      <c r="J178" s="604"/>
      <c r="K178" s="368"/>
    </row>
    <row r="179" spans="1:12" s="320" customFormat="1" x14ac:dyDescent="0.25">
      <c r="A179" s="291">
        <v>4</v>
      </c>
      <c r="B179" s="534" t="s">
        <v>661</v>
      </c>
      <c r="C179" s="534"/>
      <c r="D179" s="534"/>
      <c r="E179" s="602">
        <v>100</v>
      </c>
      <c r="F179" s="602"/>
      <c r="G179" s="417">
        <v>50</v>
      </c>
      <c r="H179" s="417"/>
      <c r="I179" s="603">
        <f t="shared" si="4"/>
        <v>5000</v>
      </c>
      <c r="J179" s="604"/>
      <c r="K179" s="368"/>
    </row>
    <row r="180" spans="1:12" s="320" customFormat="1" x14ac:dyDescent="0.25">
      <c r="A180" s="291">
        <v>5</v>
      </c>
      <c r="B180" s="534" t="s">
        <v>668</v>
      </c>
      <c r="C180" s="534"/>
      <c r="D180" s="534"/>
      <c r="E180" s="602">
        <v>9</v>
      </c>
      <c r="F180" s="602"/>
      <c r="G180" s="417">
        <v>1500</v>
      </c>
      <c r="H180" s="417"/>
      <c r="I180" s="603">
        <f t="shared" si="4"/>
        <v>13500</v>
      </c>
      <c r="J180" s="604"/>
      <c r="K180" s="368"/>
    </row>
    <row r="181" spans="1:12" s="320" customFormat="1" x14ac:dyDescent="0.25">
      <c r="A181" s="291">
        <v>6</v>
      </c>
      <c r="B181" s="534" t="s">
        <v>669</v>
      </c>
      <c r="C181" s="534"/>
      <c r="D181" s="534"/>
      <c r="E181" s="602">
        <v>5</v>
      </c>
      <c r="F181" s="602"/>
      <c r="G181" s="417">
        <v>1000</v>
      </c>
      <c r="H181" s="417"/>
      <c r="I181" s="603">
        <f t="shared" si="4"/>
        <v>5000</v>
      </c>
      <c r="J181" s="604"/>
      <c r="K181" s="368"/>
    </row>
    <row r="182" spans="1:12" s="320" customFormat="1" x14ac:dyDescent="0.25">
      <c r="A182" s="291">
        <v>7</v>
      </c>
      <c r="B182" s="534" t="s">
        <v>670</v>
      </c>
      <c r="C182" s="534"/>
      <c r="D182" s="534"/>
      <c r="E182" s="602">
        <v>9</v>
      </c>
      <c r="F182" s="602"/>
      <c r="G182" s="417">
        <v>150</v>
      </c>
      <c r="H182" s="417"/>
      <c r="I182" s="603">
        <f t="shared" si="4"/>
        <v>1350</v>
      </c>
      <c r="J182" s="604"/>
      <c r="K182" s="368"/>
    </row>
    <row r="183" spans="1:12" s="320" customFormat="1" x14ac:dyDescent="0.25">
      <c r="A183" s="291">
        <v>8</v>
      </c>
      <c r="B183" s="534" t="s">
        <v>652</v>
      </c>
      <c r="C183" s="534"/>
      <c r="D183" s="534"/>
      <c r="E183" s="602">
        <v>100</v>
      </c>
      <c r="F183" s="602"/>
      <c r="G183" s="417">
        <v>125</v>
      </c>
      <c r="H183" s="417"/>
      <c r="I183" s="603">
        <f t="shared" si="4"/>
        <v>12500</v>
      </c>
      <c r="J183" s="604"/>
      <c r="K183" s="368"/>
    </row>
    <row r="184" spans="1:12" s="320" customFormat="1" x14ac:dyDescent="0.25">
      <c r="A184" s="369"/>
      <c r="B184" s="609" t="s">
        <v>585</v>
      </c>
      <c r="C184" s="606"/>
      <c r="D184" s="606"/>
      <c r="E184" s="606"/>
      <c r="F184" s="606"/>
      <c r="G184" s="606"/>
      <c r="H184" s="608"/>
      <c r="I184" s="607">
        <f>I185+I186</f>
        <v>4000</v>
      </c>
      <c r="J184" s="610"/>
      <c r="K184" s="368"/>
    </row>
    <row r="185" spans="1:12" s="320" customFormat="1" x14ac:dyDescent="0.25">
      <c r="A185" s="291">
        <v>1</v>
      </c>
      <c r="B185" s="534" t="s">
        <v>677</v>
      </c>
      <c r="C185" s="534"/>
      <c r="D185" s="534"/>
      <c r="E185" s="602">
        <v>20</v>
      </c>
      <c r="F185" s="602"/>
      <c r="G185" s="417">
        <v>50</v>
      </c>
      <c r="H185" s="417"/>
      <c r="I185" s="603">
        <f>E185*G185</f>
        <v>1000</v>
      </c>
      <c r="J185" s="604"/>
      <c r="K185" s="368"/>
    </row>
    <row r="186" spans="1:12" s="320" customFormat="1" x14ac:dyDescent="0.25">
      <c r="A186" s="291">
        <v>2</v>
      </c>
      <c r="B186" s="534" t="s">
        <v>678</v>
      </c>
      <c r="C186" s="534"/>
      <c r="D186" s="534"/>
      <c r="E186" s="602">
        <v>20</v>
      </c>
      <c r="F186" s="602"/>
      <c r="G186" s="417">
        <v>150</v>
      </c>
      <c r="H186" s="417"/>
      <c r="I186" s="603">
        <f t="shared" ref="I186" si="5">E186*G186</f>
        <v>3000</v>
      </c>
      <c r="J186" s="604"/>
      <c r="K186" s="368"/>
    </row>
    <row r="187" spans="1:12" s="320" customFormat="1" x14ac:dyDescent="0.25">
      <c r="A187" s="369"/>
      <c r="B187" s="606" t="s">
        <v>589</v>
      </c>
      <c r="C187" s="606"/>
      <c r="D187" s="606"/>
      <c r="E187" s="606"/>
      <c r="F187" s="606"/>
      <c r="G187" s="606"/>
      <c r="H187" s="606"/>
      <c r="I187" s="607">
        <f>I188+I189+I190+I191+I192+I193</f>
        <v>79000</v>
      </c>
      <c r="J187" s="608"/>
      <c r="K187" s="370"/>
      <c r="L187" s="370"/>
    </row>
    <row r="188" spans="1:12" s="320" customFormat="1" x14ac:dyDescent="0.25">
      <c r="A188" s="291">
        <v>1</v>
      </c>
      <c r="B188" s="534" t="s">
        <v>679</v>
      </c>
      <c r="C188" s="534"/>
      <c r="D188" s="534"/>
      <c r="E188" s="602">
        <v>150</v>
      </c>
      <c r="F188" s="602"/>
      <c r="G188" s="417">
        <v>150</v>
      </c>
      <c r="H188" s="417"/>
      <c r="I188" s="603">
        <f>E188*G188</f>
        <v>22500</v>
      </c>
      <c r="J188" s="604"/>
      <c r="K188" s="368"/>
    </row>
    <row r="189" spans="1:12" s="320" customFormat="1" x14ac:dyDescent="0.25">
      <c r="A189" s="291">
        <v>2</v>
      </c>
      <c r="B189" s="534" t="s">
        <v>680</v>
      </c>
      <c r="C189" s="534"/>
      <c r="D189" s="534"/>
      <c r="E189" s="602">
        <v>3</v>
      </c>
      <c r="F189" s="602"/>
      <c r="G189" s="417">
        <v>1500</v>
      </c>
      <c r="H189" s="417"/>
      <c r="I189" s="603">
        <f t="shared" ref="I189:I193" si="6">E189*G189</f>
        <v>4500</v>
      </c>
      <c r="J189" s="604"/>
      <c r="K189" s="368"/>
    </row>
    <row r="190" spans="1:12" s="320" customFormat="1" x14ac:dyDescent="0.25">
      <c r="A190" s="291">
        <v>3</v>
      </c>
      <c r="B190" s="534" t="s">
        <v>681</v>
      </c>
      <c r="C190" s="534"/>
      <c r="D190" s="534"/>
      <c r="E190" s="602">
        <v>4</v>
      </c>
      <c r="F190" s="602"/>
      <c r="G190" s="417">
        <v>1500</v>
      </c>
      <c r="H190" s="417"/>
      <c r="I190" s="603">
        <f t="shared" si="6"/>
        <v>6000</v>
      </c>
      <c r="J190" s="604"/>
      <c r="K190" s="368"/>
    </row>
    <row r="191" spans="1:12" s="320" customFormat="1" x14ac:dyDescent="0.25">
      <c r="A191" s="291">
        <v>4</v>
      </c>
      <c r="B191" s="534" t="s">
        <v>682</v>
      </c>
      <c r="C191" s="534"/>
      <c r="D191" s="534"/>
      <c r="E191" s="602">
        <v>12</v>
      </c>
      <c r="F191" s="602"/>
      <c r="G191" s="417">
        <v>1500</v>
      </c>
      <c r="H191" s="417"/>
      <c r="I191" s="603">
        <f t="shared" si="6"/>
        <v>18000</v>
      </c>
      <c r="J191" s="604"/>
      <c r="K191" s="368"/>
    </row>
    <row r="192" spans="1:12" s="320" customFormat="1" x14ac:dyDescent="0.25">
      <c r="A192" s="291">
        <v>5</v>
      </c>
      <c r="B192" s="534" t="s">
        <v>683</v>
      </c>
      <c r="C192" s="534"/>
      <c r="D192" s="534"/>
      <c r="E192" s="602">
        <v>200</v>
      </c>
      <c r="F192" s="602"/>
      <c r="G192" s="417">
        <v>40</v>
      </c>
      <c r="H192" s="417"/>
      <c r="I192" s="603">
        <f t="shared" si="6"/>
        <v>8000</v>
      </c>
      <c r="J192" s="604"/>
      <c r="K192" s="368"/>
    </row>
    <row r="193" spans="1:13" s="320" customFormat="1" x14ac:dyDescent="0.25">
      <c r="A193" s="291">
        <v>6</v>
      </c>
      <c r="B193" s="534" t="s">
        <v>684</v>
      </c>
      <c r="C193" s="534"/>
      <c r="D193" s="534"/>
      <c r="E193" s="602">
        <v>200</v>
      </c>
      <c r="F193" s="602"/>
      <c r="G193" s="417">
        <v>100</v>
      </c>
      <c r="H193" s="417"/>
      <c r="I193" s="603">
        <f t="shared" si="6"/>
        <v>20000</v>
      </c>
      <c r="J193" s="604"/>
      <c r="K193" s="368"/>
    </row>
    <row r="194" spans="1:13" s="320" customFormat="1" x14ac:dyDescent="0.25">
      <c r="A194" s="369"/>
      <c r="B194" s="606" t="s">
        <v>592</v>
      </c>
      <c r="C194" s="606"/>
      <c r="D194" s="606"/>
      <c r="E194" s="606"/>
      <c r="F194" s="606"/>
      <c r="G194" s="606"/>
      <c r="H194" s="606"/>
      <c r="I194" s="607">
        <f>I195+I196</f>
        <v>35000</v>
      </c>
      <c r="J194" s="608"/>
      <c r="K194" s="370"/>
      <c r="L194" s="370"/>
    </row>
    <row r="195" spans="1:13" s="320" customFormat="1" x14ac:dyDescent="0.25">
      <c r="A195" s="291">
        <v>1</v>
      </c>
      <c r="B195" s="534" t="s">
        <v>657</v>
      </c>
      <c r="C195" s="534"/>
      <c r="D195" s="534"/>
      <c r="E195" s="482">
        <v>100</v>
      </c>
      <c r="F195" s="483"/>
      <c r="G195" s="605">
        <v>150</v>
      </c>
      <c r="H195" s="605"/>
      <c r="I195" s="603">
        <f>E195*G195</f>
        <v>15000</v>
      </c>
      <c r="J195" s="604"/>
      <c r="K195" s="370"/>
      <c r="L195" s="370"/>
    </row>
    <row r="196" spans="1:13" s="320" customFormat="1" x14ac:dyDescent="0.25">
      <c r="A196" s="291">
        <v>2</v>
      </c>
      <c r="B196" s="534" t="s">
        <v>684</v>
      </c>
      <c r="C196" s="534"/>
      <c r="D196" s="534"/>
      <c r="E196" s="482">
        <v>100</v>
      </c>
      <c r="F196" s="483"/>
      <c r="G196" s="605">
        <v>200</v>
      </c>
      <c r="H196" s="605"/>
      <c r="I196" s="603">
        <f>E196*G196</f>
        <v>20000</v>
      </c>
      <c r="J196" s="604"/>
      <c r="K196" s="370"/>
      <c r="L196" s="370"/>
    </row>
    <row r="197" spans="1:13" s="320" customFormat="1" x14ac:dyDescent="0.25">
      <c r="A197" s="369"/>
      <c r="B197" s="606" t="s">
        <v>685</v>
      </c>
      <c r="C197" s="606"/>
      <c r="D197" s="606"/>
      <c r="E197" s="606"/>
      <c r="F197" s="606"/>
      <c r="G197" s="606"/>
      <c r="H197" s="606"/>
      <c r="I197" s="607">
        <f>SUM(I198:J198)</f>
        <v>40000</v>
      </c>
      <c r="J197" s="608"/>
      <c r="K197" s="368"/>
    </row>
    <row r="198" spans="1:13" s="320" customFormat="1" x14ac:dyDescent="0.25">
      <c r="A198" s="291">
        <v>1</v>
      </c>
      <c r="B198" s="534" t="s">
        <v>680</v>
      </c>
      <c r="C198" s="534"/>
      <c r="D198" s="534"/>
      <c r="E198" s="602">
        <v>25</v>
      </c>
      <c r="F198" s="602"/>
      <c r="G198" s="417">
        <v>1600</v>
      </c>
      <c r="H198" s="417"/>
      <c r="I198" s="603">
        <f t="shared" ref="I198" si="7">E198*G198</f>
        <v>40000</v>
      </c>
      <c r="J198" s="604"/>
      <c r="K198" s="368"/>
    </row>
    <row r="199" spans="1:13" x14ac:dyDescent="0.25">
      <c r="A199" s="301"/>
      <c r="B199" s="507" t="s">
        <v>13</v>
      </c>
      <c r="C199" s="507"/>
      <c r="D199" s="507"/>
      <c r="E199" s="590"/>
      <c r="F199" s="590"/>
      <c r="G199" s="508" t="s">
        <v>14</v>
      </c>
      <c r="H199" s="508"/>
      <c r="I199" s="677">
        <f>I187+I184+I175+I194+I197</f>
        <v>201450</v>
      </c>
      <c r="J199" s="677"/>
      <c r="M199" s="93"/>
    </row>
    <row r="200" spans="1:13" ht="15.75" x14ac:dyDescent="0.25">
      <c r="A200" s="669" t="s">
        <v>369</v>
      </c>
      <c r="B200" s="669"/>
      <c r="C200" s="669"/>
      <c r="D200" s="669"/>
      <c r="E200" s="669"/>
      <c r="F200" s="669"/>
      <c r="G200" s="669"/>
      <c r="H200" s="669"/>
      <c r="I200" s="669"/>
      <c r="J200" s="669"/>
      <c r="M200" s="93"/>
    </row>
    <row r="201" spans="1:13" ht="25.5" x14ac:dyDescent="0.25">
      <c r="A201" s="288" t="s">
        <v>1</v>
      </c>
      <c r="B201" s="402" t="s">
        <v>15</v>
      </c>
      <c r="C201" s="402"/>
      <c r="D201" s="402"/>
      <c r="E201" s="402" t="s">
        <v>58</v>
      </c>
      <c r="F201" s="402"/>
      <c r="G201" s="402" t="s">
        <v>66</v>
      </c>
      <c r="H201" s="402"/>
      <c r="I201" s="490" t="s">
        <v>264</v>
      </c>
      <c r="J201" s="492"/>
      <c r="M201" s="93"/>
    </row>
    <row r="202" spans="1:13" x14ac:dyDescent="0.25">
      <c r="A202" s="288">
        <v>1</v>
      </c>
      <c r="B202" s="402">
        <v>2</v>
      </c>
      <c r="C202" s="402"/>
      <c r="D202" s="402"/>
      <c r="E202" s="402">
        <v>3</v>
      </c>
      <c r="F202" s="402"/>
      <c r="G202" s="402">
        <v>4</v>
      </c>
      <c r="H202" s="402"/>
      <c r="I202" s="402">
        <v>5</v>
      </c>
      <c r="J202" s="402"/>
      <c r="M202" s="93"/>
    </row>
    <row r="203" spans="1:13" x14ac:dyDescent="0.25">
      <c r="A203" s="298">
        <v>1</v>
      </c>
      <c r="B203" s="661" t="s">
        <v>385</v>
      </c>
      <c r="C203" s="662"/>
      <c r="D203" s="663"/>
      <c r="E203" s="123"/>
      <c r="F203" s="122"/>
      <c r="G203" s="522"/>
      <c r="H203" s="522"/>
      <c r="I203" s="563">
        <f>I207</f>
        <v>0</v>
      </c>
      <c r="J203" s="564"/>
      <c r="M203" s="93"/>
    </row>
    <row r="204" spans="1:13" x14ac:dyDescent="0.25">
      <c r="A204" s="301"/>
      <c r="B204" s="541"/>
      <c r="C204" s="542"/>
      <c r="D204" s="543"/>
      <c r="E204" s="124"/>
      <c r="F204" s="183"/>
      <c r="G204" s="552"/>
      <c r="H204" s="552"/>
      <c r="I204" s="678"/>
      <c r="J204" s="545"/>
      <c r="M204" s="93"/>
    </row>
    <row r="205" spans="1:13" x14ac:dyDescent="0.25">
      <c r="A205" s="301"/>
      <c r="B205" s="541"/>
      <c r="C205" s="542"/>
      <c r="D205" s="543"/>
      <c r="E205" s="124"/>
      <c r="F205" s="183"/>
      <c r="G205" s="552"/>
      <c r="H205" s="552"/>
      <c r="I205" s="678"/>
      <c r="J205" s="545"/>
      <c r="M205" s="93"/>
    </row>
    <row r="206" spans="1:13" x14ac:dyDescent="0.25">
      <c r="A206" s="301" t="s">
        <v>270</v>
      </c>
      <c r="B206" s="541" t="s">
        <v>343</v>
      </c>
      <c r="C206" s="542"/>
      <c r="D206" s="543"/>
      <c r="E206" s="124" t="s">
        <v>315</v>
      </c>
      <c r="F206" s="183">
        <v>463</v>
      </c>
      <c r="G206" s="552" t="s">
        <v>74</v>
      </c>
      <c r="H206" s="552"/>
      <c r="I206" s="678"/>
      <c r="J206" s="545"/>
      <c r="M206" s="93"/>
    </row>
    <row r="207" spans="1:13" x14ac:dyDescent="0.25">
      <c r="A207" s="301"/>
      <c r="B207" s="507" t="s">
        <v>13</v>
      </c>
      <c r="C207" s="507"/>
      <c r="D207" s="507"/>
      <c r="E207" s="590"/>
      <c r="F207" s="590"/>
      <c r="G207" s="508" t="s">
        <v>14</v>
      </c>
      <c r="H207" s="508"/>
      <c r="I207" s="677">
        <f>SUM(I204:I206)</f>
        <v>0</v>
      </c>
      <c r="J207" s="677"/>
      <c r="M207" s="93"/>
    </row>
    <row r="208" spans="1:13" ht="15.75" x14ac:dyDescent="0.25">
      <c r="A208" s="669" t="s">
        <v>365</v>
      </c>
      <c r="B208" s="669"/>
      <c r="C208" s="669"/>
      <c r="D208" s="669"/>
      <c r="E208" s="669"/>
      <c r="F208" s="669"/>
      <c r="G208" s="669"/>
      <c r="H208" s="669"/>
      <c r="I208" s="669"/>
      <c r="J208" s="669"/>
      <c r="M208" s="93"/>
    </row>
    <row r="209" spans="1:13" ht="25.5" x14ac:dyDescent="0.25">
      <c r="A209" s="288" t="s">
        <v>1</v>
      </c>
      <c r="B209" s="402" t="s">
        <v>15</v>
      </c>
      <c r="C209" s="402"/>
      <c r="D209" s="402"/>
      <c r="E209" s="402" t="s">
        <v>58</v>
      </c>
      <c r="F209" s="402"/>
      <c r="G209" s="402" t="s">
        <v>66</v>
      </c>
      <c r="H209" s="402"/>
      <c r="I209" s="490" t="s">
        <v>264</v>
      </c>
      <c r="J209" s="492"/>
      <c r="M209" s="93"/>
    </row>
    <row r="210" spans="1:13" x14ac:dyDescent="0.25">
      <c r="A210" s="288">
        <v>1</v>
      </c>
      <c r="B210" s="402">
        <v>2</v>
      </c>
      <c r="C210" s="402"/>
      <c r="D210" s="402"/>
      <c r="E210" s="402">
        <v>3</v>
      </c>
      <c r="F210" s="402"/>
      <c r="G210" s="402">
        <v>4</v>
      </c>
      <c r="H210" s="402"/>
      <c r="I210" s="402">
        <v>5</v>
      </c>
      <c r="J210" s="402"/>
      <c r="M210" s="93"/>
    </row>
    <row r="211" spans="1:13" x14ac:dyDescent="0.25">
      <c r="A211" s="298">
        <v>1</v>
      </c>
      <c r="B211" s="661" t="s">
        <v>385</v>
      </c>
      <c r="C211" s="662"/>
      <c r="D211" s="663"/>
      <c r="E211" s="123"/>
      <c r="F211" s="122"/>
      <c r="G211" s="522"/>
      <c r="H211" s="522"/>
      <c r="I211" s="563">
        <f>I212</f>
        <v>0</v>
      </c>
      <c r="J211" s="564"/>
      <c r="M211" s="93"/>
    </row>
    <row r="212" spans="1:13" x14ac:dyDescent="0.25">
      <c r="A212" s="301" t="s">
        <v>27</v>
      </c>
      <c r="B212" s="541"/>
      <c r="C212" s="542"/>
      <c r="D212" s="543"/>
      <c r="E212" s="108"/>
      <c r="F212" s="183"/>
      <c r="G212" s="552"/>
      <c r="H212" s="552"/>
      <c r="I212" s="678"/>
      <c r="J212" s="545"/>
      <c r="M212" s="93"/>
    </row>
    <row r="213" spans="1:13" x14ac:dyDescent="0.25">
      <c r="A213" s="301" t="s">
        <v>287</v>
      </c>
      <c r="B213" s="546" t="s">
        <v>333</v>
      </c>
      <c r="C213" s="547"/>
      <c r="D213" s="548"/>
      <c r="E213" s="124" t="s">
        <v>331</v>
      </c>
      <c r="F213" s="183">
        <v>21</v>
      </c>
      <c r="G213" s="552" t="s">
        <v>74</v>
      </c>
      <c r="H213" s="552"/>
      <c r="I213" s="549"/>
      <c r="J213" s="550"/>
      <c r="M213" s="93"/>
    </row>
    <row r="214" spans="1:13" x14ac:dyDescent="0.25">
      <c r="A214" s="301" t="s">
        <v>344</v>
      </c>
      <c r="B214" s="541" t="s">
        <v>342</v>
      </c>
      <c r="C214" s="542"/>
      <c r="D214" s="543"/>
      <c r="E214" s="124" t="s">
        <v>331</v>
      </c>
      <c r="F214" s="183">
        <v>21</v>
      </c>
      <c r="G214" s="552" t="s">
        <v>74</v>
      </c>
      <c r="H214" s="552"/>
      <c r="I214" s="678"/>
      <c r="J214" s="545"/>
      <c r="M214" s="93"/>
    </row>
    <row r="215" spans="1:13" x14ac:dyDescent="0.25">
      <c r="A215" s="301"/>
      <c r="B215" s="507" t="s">
        <v>13</v>
      </c>
      <c r="C215" s="507"/>
      <c r="D215" s="507"/>
      <c r="E215" s="590"/>
      <c r="F215" s="590"/>
      <c r="G215" s="508" t="s">
        <v>14</v>
      </c>
      <c r="H215" s="508"/>
      <c r="I215" s="677">
        <f>I211</f>
        <v>0</v>
      </c>
      <c r="J215" s="677"/>
      <c r="M215" s="93"/>
    </row>
    <row r="216" spans="1:13" ht="15.75" x14ac:dyDescent="0.25">
      <c r="A216" s="489" t="s">
        <v>370</v>
      </c>
      <c r="B216" s="489"/>
      <c r="C216" s="489"/>
      <c r="D216" s="489"/>
      <c r="E216" s="489"/>
      <c r="F216" s="489"/>
      <c r="G216" s="489"/>
      <c r="H216" s="489"/>
      <c r="I216" s="489"/>
      <c r="J216" s="489"/>
      <c r="M216" s="93"/>
    </row>
    <row r="217" spans="1:13" x14ac:dyDescent="0.25">
      <c r="A217" s="523" t="s">
        <v>1</v>
      </c>
      <c r="B217" s="525" t="s">
        <v>15</v>
      </c>
      <c r="C217" s="526"/>
      <c r="D217" s="527"/>
      <c r="E217" s="525" t="s">
        <v>64</v>
      </c>
      <c r="F217" s="527"/>
      <c r="G217" s="402" t="s">
        <v>65</v>
      </c>
      <c r="H217" s="402"/>
      <c r="I217" s="402"/>
      <c r="J217" s="402"/>
      <c r="M217" s="93"/>
    </row>
    <row r="218" spans="1:13" ht="25.5" x14ac:dyDescent="0.25">
      <c r="A218" s="524"/>
      <c r="B218" s="528"/>
      <c r="C218" s="529"/>
      <c r="D218" s="530"/>
      <c r="E218" s="528"/>
      <c r="F218" s="530"/>
      <c r="G218" s="288" t="s">
        <v>308</v>
      </c>
      <c r="H218" s="288" t="s">
        <v>305</v>
      </c>
      <c r="I218" s="288" t="s">
        <v>306</v>
      </c>
      <c r="J218" s="288" t="s">
        <v>307</v>
      </c>
      <c r="M218" s="93"/>
    </row>
    <row r="219" spans="1:13" x14ac:dyDescent="0.25">
      <c r="A219" s="288">
        <v>1</v>
      </c>
      <c r="B219" s="402">
        <v>2</v>
      </c>
      <c r="C219" s="402"/>
      <c r="D219" s="402"/>
      <c r="E219" s="490">
        <v>3</v>
      </c>
      <c r="F219" s="492"/>
      <c r="G219" s="402">
        <v>4</v>
      </c>
      <c r="H219" s="402"/>
      <c r="I219" s="402"/>
      <c r="J219" s="402"/>
      <c r="M219" s="93"/>
    </row>
    <row r="220" spans="1:13" x14ac:dyDescent="0.25">
      <c r="A220" s="205" t="s">
        <v>70</v>
      </c>
      <c r="B220" s="679" t="s">
        <v>386</v>
      </c>
      <c r="C220" s="679"/>
      <c r="D220" s="679"/>
      <c r="E220" s="475"/>
      <c r="F220" s="476"/>
      <c r="G220" s="298"/>
      <c r="H220" s="298"/>
      <c r="I220" s="222"/>
      <c r="J220" s="204">
        <f>J221+J222</f>
        <v>0</v>
      </c>
      <c r="M220" s="93"/>
    </row>
    <row r="221" spans="1:13" x14ac:dyDescent="0.25">
      <c r="A221" s="290" t="s">
        <v>70</v>
      </c>
      <c r="B221" s="510"/>
      <c r="C221" s="510"/>
      <c r="D221" s="510"/>
      <c r="E221" s="496">
        <v>1</v>
      </c>
      <c r="F221" s="497"/>
      <c r="G221" s="301" t="s">
        <v>309</v>
      </c>
      <c r="H221" s="301"/>
      <c r="I221" s="105"/>
      <c r="J221" s="128"/>
      <c r="M221" s="93"/>
    </row>
    <row r="222" spans="1:13" x14ac:dyDescent="0.25">
      <c r="A222" s="301" t="s">
        <v>75</v>
      </c>
      <c r="B222" s="687"/>
      <c r="C222" s="687"/>
      <c r="D222" s="687"/>
      <c r="E222" s="496">
        <v>1</v>
      </c>
      <c r="F222" s="497"/>
      <c r="G222" s="301" t="s">
        <v>309</v>
      </c>
      <c r="H222" s="301"/>
      <c r="I222" s="105"/>
      <c r="J222" s="128"/>
      <c r="M222" s="93"/>
    </row>
    <row r="223" spans="1:13" ht="15.75" x14ac:dyDescent="0.25">
      <c r="A223" s="106"/>
      <c r="B223" s="586" t="s">
        <v>13</v>
      </c>
      <c r="C223" s="586"/>
      <c r="D223" s="586"/>
      <c r="E223" s="587" t="s">
        <v>14</v>
      </c>
      <c r="F223" s="588"/>
      <c r="G223" s="589">
        <f>J220</f>
        <v>0</v>
      </c>
      <c r="H223" s="590"/>
      <c r="I223" s="590"/>
      <c r="J223" s="590"/>
      <c r="M223" s="93"/>
    </row>
    <row r="224" spans="1:13" x14ac:dyDescent="0.25">
      <c r="M224" s="93"/>
    </row>
    <row r="225" spans="1:13" x14ac:dyDescent="0.25">
      <c r="H225" s="110" t="s">
        <v>212</v>
      </c>
      <c r="J225" s="127">
        <f>J227+J228</f>
        <v>690160</v>
      </c>
      <c r="M225" s="93"/>
    </row>
    <row r="226" spans="1:13" x14ac:dyDescent="0.25">
      <c r="H226" s="111" t="s">
        <v>248</v>
      </c>
      <c r="M226" s="93"/>
    </row>
    <row r="227" spans="1:13" x14ac:dyDescent="0.25">
      <c r="H227" s="125" t="s">
        <v>686</v>
      </c>
      <c r="J227" s="126">
        <f>I197+I187+I184+I175+I159+I147+I139+I141+I127+I129+I131+I103+I105+I109+G98+I33</f>
        <v>575160</v>
      </c>
      <c r="M227" s="93"/>
    </row>
    <row r="228" spans="1:13" x14ac:dyDescent="0.25">
      <c r="H228" s="125" t="s">
        <v>687</v>
      </c>
      <c r="I228" s="308"/>
      <c r="J228" s="307">
        <f>I194+I113</f>
        <v>115000</v>
      </c>
      <c r="M228" s="93"/>
    </row>
    <row r="229" spans="1:13" x14ac:dyDescent="0.25">
      <c r="H229" s="125"/>
      <c r="J229" s="173"/>
      <c r="M229" s="93"/>
    </row>
    <row r="230" spans="1:13" x14ac:dyDescent="0.25">
      <c r="M230" s="93"/>
    </row>
    <row r="231" spans="1:13" s="119" customFormat="1" x14ac:dyDescent="0.25">
      <c r="A231" s="406" t="s">
        <v>514</v>
      </c>
      <c r="B231" s="406"/>
      <c r="C231" s="406"/>
      <c r="D231" s="116"/>
      <c r="E231" s="116"/>
      <c r="F231" s="117" t="s">
        <v>690</v>
      </c>
      <c r="G231" s="118"/>
      <c r="H231" s="118"/>
    </row>
    <row r="232" spans="1:13" s="119" customFormat="1" ht="12.75" x14ac:dyDescent="0.2">
      <c r="A232" s="120"/>
      <c r="B232" s="120"/>
      <c r="C232" s="120"/>
      <c r="D232" s="407" t="s">
        <v>281</v>
      </c>
      <c r="E232" s="407"/>
      <c r="F232" s="271" t="s">
        <v>282</v>
      </c>
      <c r="G232" s="271"/>
      <c r="H232" s="271"/>
    </row>
    <row r="233" spans="1:13" s="121" customFormat="1" x14ac:dyDescent="0.25">
      <c r="A233" s="406" t="s">
        <v>262</v>
      </c>
      <c r="B233" s="406"/>
      <c r="C233" s="406"/>
      <c r="D233" s="116"/>
      <c r="E233" s="116"/>
      <c r="F233" s="117" t="s">
        <v>509</v>
      </c>
      <c r="G233" s="117"/>
      <c r="H233" s="117"/>
    </row>
    <row r="234" spans="1:13" s="119" customFormat="1" ht="12.75" x14ac:dyDescent="0.2">
      <c r="A234" s="120"/>
      <c r="B234" s="120"/>
      <c r="C234" s="120"/>
      <c r="D234" s="407" t="s">
        <v>281</v>
      </c>
      <c r="E234" s="407"/>
      <c r="F234" s="271" t="s">
        <v>282</v>
      </c>
      <c r="G234" s="271"/>
      <c r="H234" s="271"/>
    </row>
    <row r="235" spans="1:13" s="121" customFormat="1" x14ac:dyDescent="0.25">
      <c r="A235" s="406" t="s">
        <v>374</v>
      </c>
      <c r="B235" s="406"/>
      <c r="C235" s="406"/>
      <c r="D235" s="116"/>
      <c r="E235" s="116"/>
      <c r="F235" s="117" t="s">
        <v>510</v>
      </c>
      <c r="G235" s="117"/>
      <c r="H235" s="117"/>
    </row>
    <row r="236" spans="1:13" s="119" customFormat="1" ht="12.75" x14ac:dyDescent="0.2">
      <c r="A236" s="342"/>
      <c r="B236" s="342"/>
      <c r="C236" s="342"/>
      <c r="D236" s="407" t="s">
        <v>281</v>
      </c>
      <c r="E236" s="407"/>
      <c r="F236" s="271" t="s">
        <v>282</v>
      </c>
      <c r="G236" s="271"/>
      <c r="H236" s="271"/>
    </row>
    <row r="237" spans="1:13" x14ac:dyDescent="0.25">
      <c r="A237" s="289"/>
      <c r="B237" s="289"/>
      <c r="C237" s="289"/>
      <c r="D237" s="289"/>
      <c r="E237" s="289"/>
      <c r="F237" s="289"/>
      <c r="G237" s="119"/>
      <c r="H237" s="119"/>
      <c r="I237" s="119"/>
      <c r="J237" s="119"/>
      <c r="M237" s="93"/>
    </row>
    <row r="238" spans="1:13" s="1" customFormat="1" x14ac:dyDescent="0.25">
      <c r="A238" s="47" t="s">
        <v>283</v>
      </c>
      <c r="B238" s="223" t="s">
        <v>578</v>
      </c>
      <c r="C238" s="340"/>
      <c r="D238" s="340"/>
      <c r="E238" s="340"/>
      <c r="F238" s="340"/>
      <c r="G238" s="45"/>
      <c r="H238" s="45"/>
      <c r="I238" s="45"/>
      <c r="J238" s="45"/>
    </row>
    <row r="239" spans="1:13" x14ac:dyDescent="0.25">
      <c r="A239" s="289"/>
      <c r="B239" s="289"/>
      <c r="C239" s="289"/>
      <c r="D239" s="289"/>
      <c r="E239" s="289"/>
      <c r="F239" s="289"/>
      <c r="G239" s="119"/>
      <c r="H239" s="119"/>
      <c r="I239" s="119"/>
      <c r="J239" s="119"/>
      <c r="M239" s="93"/>
    </row>
    <row r="240" spans="1:13" x14ac:dyDescent="0.25">
      <c r="A240" s="408"/>
      <c r="B240" s="408"/>
      <c r="C240" s="289"/>
      <c r="D240" s="289"/>
      <c r="E240" s="289"/>
      <c r="F240" s="289"/>
      <c r="G240" s="119"/>
      <c r="H240" s="119"/>
      <c r="I240" s="119"/>
      <c r="J240" s="119"/>
      <c r="M240" s="93"/>
    </row>
    <row r="241" spans="13:13" x14ac:dyDescent="0.25">
      <c r="M241" s="93"/>
    </row>
    <row r="242" spans="13:13" x14ac:dyDescent="0.25">
      <c r="M242" s="93"/>
    </row>
    <row r="243" spans="13:13" x14ac:dyDescent="0.25">
      <c r="M243" s="93"/>
    </row>
    <row r="244" spans="13:13" x14ac:dyDescent="0.25">
      <c r="M244" s="93"/>
    </row>
    <row r="245" spans="13:13" x14ac:dyDescent="0.25">
      <c r="M245" s="93"/>
    </row>
    <row r="246" spans="13:13" x14ac:dyDescent="0.25">
      <c r="M246" s="93"/>
    </row>
    <row r="247" spans="13:13" x14ac:dyDescent="0.25">
      <c r="M247" s="93"/>
    </row>
    <row r="248" spans="13:13" x14ac:dyDescent="0.25">
      <c r="M248" s="93"/>
    </row>
    <row r="249" spans="13:13" x14ac:dyDescent="0.25">
      <c r="M249" s="93"/>
    </row>
    <row r="250" spans="13:13" x14ac:dyDescent="0.25">
      <c r="M250" s="93"/>
    </row>
    <row r="251" spans="13:13" x14ac:dyDescent="0.25">
      <c r="M251" s="93"/>
    </row>
    <row r="252" spans="13:13" x14ac:dyDescent="0.25">
      <c r="M252" s="93"/>
    </row>
    <row r="253" spans="13:13" x14ac:dyDescent="0.25">
      <c r="M253" s="93"/>
    </row>
    <row r="254" spans="13:13" x14ac:dyDescent="0.25">
      <c r="M254" s="93"/>
    </row>
    <row r="255" spans="13:13" x14ac:dyDescent="0.25">
      <c r="M255" s="93"/>
    </row>
    <row r="256" spans="13:13" x14ac:dyDescent="0.25">
      <c r="M256" s="93"/>
    </row>
    <row r="257" spans="13:13" x14ac:dyDescent="0.25">
      <c r="M257" s="93"/>
    </row>
  </sheetData>
  <mergeCells count="606"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16:J16"/>
    <mergeCell ref="A17:J17"/>
    <mergeCell ref="A19:B19"/>
    <mergeCell ref="A20:J20"/>
    <mergeCell ref="A22:B22"/>
    <mergeCell ref="A23:J23"/>
    <mergeCell ref="I9:I11"/>
    <mergeCell ref="J9:J11"/>
    <mergeCell ref="D10:D11"/>
    <mergeCell ref="E10:G10"/>
    <mergeCell ref="A13:J13"/>
    <mergeCell ref="A15:B15"/>
    <mergeCell ref="B30:D30"/>
    <mergeCell ref="E30:F30"/>
    <mergeCell ref="I30:J30"/>
    <mergeCell ref="B31:H31"/>
    <mergeCell ref="I31:J31"/>
    <mergeCell ref="B32:D32"/>
    <mergeCell ref="G32:J32"/>
    <mergeCell ref="A25:B25"/>
    <mergeCell ref="A26:B26"/>
    <mergeCell ref="A27:B27"/>
    <mergeCell ref="A28:J28"/>
    <mergeCell ref="B29:D29"/>
    <mergeCell ref="E29:F29"/>
    <mergeCell ref="I29:J29"/>
    <mergeCell ref="B36:D36"/>
    <mergeCell ref="E36:F36"/>
    <mergeCell ref="I36:J36"/>
    <mergeCell ref="B37:D37"/>
    <mergeCell ref="E37:F37"/>
    <mergeCell ref="I37:J37"/>
    <mergeCell ref="B33:D33"/>
    <mergeCell ref="E33:F33"/>
    <mergeCell ref="I33:J33"/>
    <mergeCell ref="A34:J34"/>
    <mergeCell ref="B35:D35"/>
    <mergeCell ref="E35:F35"/>
    <mergeCell ref="I35:J35"/>
    <mergeCell ref="B41:F41"/>
    <mergeCell ref="G41:H41"/>
    <mergeCell ref="I41:J41"/>
    <mergeCell ref="B42:F42"/>
    <mergeCell ref="G42:H42"/>
    <mergeCell ref="I42:J42"/>
    <mergeCell ref="A38:J38"/>
    <mergeCell ref="B39:F39"/>
    <mergeCell ref="G39:H39"/>
    <mergeCell ref="I39:J39"/>
    <mergeCell ref="B40:F40"/>
    <mergeCell ref="G40:H40"/>
    <mergeCell ref="I40:J40"/>
    <mergeCell ref="B45:F45"/>
    <mergeCell ref="G45:H45"/>
    <mergeCell ref="I45:J45"/>
    <mergeCell ref="B46:F46"/>
    <mergeCell ref="G46:H46"/>
    <mergeCell ref="I46:J46"/>
    <mergeCell ref="B43:F43"/>
    <mergeCell ref="G43:H43"/>
    <mergeCell ref="I43:J43"/>
    <mergeCell ref="B44:F44"/>
    <mergeCell ref="G44:H44"/>
    <mergeCell ref="I44:J44"/>
    <mergeCell ref="B49:F49"/>
    <mergeCell ref="G49:H49"/>
    <mergeCell ref="I49:J49"/>
    <mergeCell ref="B50:F50"/>
    <mergeCell ref="G50:H50"/>
    <mergeCell ref="I50:J50"/>
    <mergeCell ref="B47:F47"/>
    <mergeCell ref="G47:H47"/>
    <mergeCell ref="I47:J47"/>
    <mergeCell ref="B48:F48"/>
    <mergeCell ref="G48:H48"/>
    <mergeCell ref="I48:J48"/>
    <mergeCell ref="K52:L52"/>
    <mergeCell ref="B53:F53"/>
    <mergeCell ref="G53:H53"/>
    <mergeCell ref="I53:J53"/>
    <mergeCell ref="B54:F54"/>
    <mergeCell ref="G54:H54"/>
    <mergeCell ref="I54:J54"/>
    <mergeCell ref="B51:F51"/>
    <mergeCell ref="G51:H51"/>
    <mergeCell ref="I51:J51"/>
    <mergeCell ref="B52:F52"/>
    <mergeCell ref="G52:H52"/>
    <mergeCell ref="I52:J52"/>
    <mergeCell ref="B60:D60"/>
    <mergeCell ref="E60:F60"/>
    <mergeCell ref="G60:H60"/>
    <mergeCell ref="I60:J60"/>
    <mergeCell ref="B61:D61"/>
    <mergeCell ref="E61:F61"/>
    <mergeCell ref="G61:H61"/>
    <mergeCell ref="I61:J61"/>
    <mergeCell ref="A55:J55"/>
    <mergeCell ref="A56:J56"/>
    <mergeCell ref="B59:D59"/>
    <mergeCell ref="E59:F59"/>
    <mergeCell ref="G59:H59"/>
    <mergeCell ref="I59:J59"/>
    <mergeCell ref="A62:J62"/>
    <mergeCell ref="B65:D65"/>
    <mergeCell ref="E65:F65"/>
    <mergeCell ref="G65:H65"/>
    <mergeCell ref="I65:J65"/>
    <mergeCell ref="B66:D66"/>
    <mergeCell ref="E66:F66"/>
    <mergeCell ref="G66:H66"/>
    <mergeCell ref="I66:J66"/>
    <mergeCell ref="B72:D72"/>
    <mergeCell ref="E72:F72"/>
    <mergeCell ref="G72:H72"/>
    <mergeCell ref="I72:J72"/>
    <mergeCell ref="B73:D73"/>
    <mergeCell ref="E73:F73"/>
    <mergeCell ref="G73:H73"/>
    <mergeCell ref="I73:J73"/>
    <mergeCell ref="B67:D67"/>
    <mergeCell ref="E67:F67"/>
    <mergeCell ref="G67:H67"/>
    <mergeCell ref="I67:J67"/>
    <mergeCell ref="A68:J68"/>
    <mergeCell ref="B71:D71"/>
    <mergeCell ref="E71:F71"/>
    <mergeCell ref="G71:H71"/>
    <mergeCell ref="I71:J71"/>
    <mergeCell ref="A74:J74"/>
    <mergeCell ref="B77:D77"/>
    <mergeCell ref="E77:F77"/>
    <mergeCell ref="G77:H77"/>
    <mergeCell ref="I77:J77"/>
    <mergeCell ref="B78:D78"/>
    <mergeCell ref="E78:F78"/>
    <mergeCell ref="G78:H78"/>
    <mergeCell ref="I78:J78"/>
    <mergeCell ref="B84:D84"/>
    <mergeCell ref="F84:G84"/>
    <mergeCell ref="I84:J84"/>
    <mergeCell ref="B85:D85"/>
    <mergeCell ref="F85:G85"/>
    <mergeCell ref="I85:J85"/>
    <mergeCell ref="B79:D79"/>
    <mergeCell ref="E79:F79"/>
    <mergeCell ref="G79:H79"/>
    <mergeCell ref="I79:J79"/>
    <mergeCell ref="A80:J80"/>
    <mergeCell ref="A83:J83"/>
    <mergeCell ref="B88:D88"/>
    <mergeCell ref="F88:G88"/>
    <mergeCell ref="I88:J88"/>
    <mergeCell ref="B89:D89"/>
    <mergeCell ref="F89:G89"/>
    <mergeCell ref="I89:J89"/>
    <mergeCell ref="B86:D86"/>
    <mergeCell ref="F86:G86"/>
    <mergeCell ref="I86:J86"/>
    <mergeCell ref="B87:D87"/>
    <mergeCell ref="F87:G87"/>
    <mergeCell ref="I87:J87"/>
    <mergeCell ref="B92:D92"/>
    <mergeCell ref="F92:G92"/>
    <mergeCell ref="I92:J92"/>
    <mergeCell ref="A93:J93"/>
    <mergeCell ref="B94:D94"/>
    <mergeCell ref="G94:J94"/>
    <mergeCell ref="B90:D90"/>
    <mergeCell ref="F90:G90"/>
    <mergeCell ref="I90:J90"/>
    <mergeCell ref="B91:D91"/>
    <mergeCell ref="F91:G91"/>
    <mergeCell ref="I91:J91"/>
    <mergeCell ref="B97:D97"/>
    <mergeCell ref="G97:J97"/>
    <mergeCell ref="B98:D98"/>
    <mergeCell ref="G98:J98"/>
    <mergeCell ref="A99:J99"/>
    <mergeCell ref="B100:D100"/>
    <mergeCell ref="E100:F100"/>
    <mergeCell ref="G100:J100"/>
    <mergeCell ref="B95:D95"/>
    <mergeCell ref="G95:J95"/>
    <mergeCell ref="B96:D96"/>
    <mergeCell ref="E96:F96"/>
    <mergeCell ref="G96:J96"/>
    <mergeCell ref="B103:H103"/>
    <mergeCell ref="I103:J103"/>
    <mergeCell ref="B104:D104"/>
    <mergeCell ref="E104:F104"/>
    <mergeCell ref="G104:H104"/>
    <mergeCell ref="I104:J104"/>
    <mergeCell ref="B101:D101"/>
    <mergeCell ref="E101:F101"/>
    <mergeCell ref="G101:J101"/>
    <mergeCell ref="B102:D102"/>
    <mergeCell ref="E102:F102"/>
    <mergeCell ref="G102:J102"/>
    <mergeCell ref="B107:D107"/>
    <mergeCell ref="E107:F107"/>
    <mergeCell ref="G107:H107"/>
    <mergeCell ref="I107:J107"/>
    <mergeCell ref="B108:D108"/>
    <mergeCell ref="E108:F108"/>
    <mergeCell ref="G108:H108"/>
    <mergeCell ref="I108:J108"/>
    <mergeCell ref="B105:H105"/>
    <mergeCell ref="I105:J105"/>
    <mergeCell ref="B106:D106"/>
    <mergeCell ref="E106:F106"/>
    <mergeCell ref="G106:H106"/>
    <mergeCell ref="I106:J106"/>
    <mergeCell ref="B111:D111"/>
    <mergeCell ref="E111:F111"/>
    <mergeCell ref="G111:H111"/>
    <mergeCell ref="I111:J111"/>
    <mergeCell ref="B112:D112"/>
    <mergeCell ref="E112:F112"/>
    <mergeCell ref="G112:H112"/>
    <mergeCell ref="I112:J112"/>
    <mergeCell ref="B109:H109"/>
    <mergeCell ref="I109:J109"/>
    <mergeCell ref="B110:D110"/>
    <mergeCell ref="E110:F110"/>
    <mergeCell ref="G110:H110"/>
    <mergeCell ref="I110:J110"/>
    <mergeCell ref="B115:D115"/>
    <mergeCell ref="E115:F115"/>
    <mergeCell ref="G115:H115"/>
    <mergeCell ref="I115:J115"/>
    <mergeCell ref="B116:D116"/>
    <mergeCell ref="E116:F116"/>
    <mergeCell ref="G116:J116"/>
    <mergeCell ref="B113:H113"/>
    <mergeCell ref="I113:J113"/>
    <mergeCell ref="B114:D114"/>
    <mergeCell ref="E114:F114"/>
    <mergeCell ref="G114:H114"/>
    <mergeCell ref="I114:J114"/>
    <mergeCell ref="B120:D120"/>
    <mergeCell ref="E120:F120"/>
    <mergeCell ref="G120:J120"/>
    <mergeCell ref="B121:D121"/>
    <mergeCell ref="G121:J121"/>
    <mergeCell ref="B122:D122"/>
    <mergeCell ref="G122:J122"/>
    <mergeCell ref="A117:J117"/>
    <mergeCell ref="B118:D118"/>
    <mergeCell ref="E118:F118"/>
    <mergeCell ref="G118:J118"/>
    <mergeCell ref="B119:D119"/>
    <mergeCell ref="E119:F119"/>
    <mergeCell ref="G119:J119"/>
    <mergeCell ref="A123:J123"/>
    <mergeCell ref="B124:D124"/>
    <mergeCell ref="E124:F124"/>
    <mergeCell ref="G124:H124"/>
    <mergeCell ref="I124:J124"/>
    <mergeCell ref="B125:D125"/>
    <mergeCell ref="E125:F125"/>
    <mergeCell ref="G125:H125"/>
    <mergeCell ref="I125:J125"/>
    <mergeCell ref="B129:H129"/>
    <mergeCell ref="I129:J129"/>
    <mergeCell ref="B130:D130"/>
    <mergeCell ref="E130:F130"/>
    <mergeCell ref="G130:H130"/>
    <mergeCell ref="I130:J130"/>
    <mergeCell ref="B126:D126"/>
    <mergeCell ref="G126:H126"/>
    <mergeCell ref="I126:J126"/>
    <mergeCell ref="B127:H127"/>
    <mergeCell ref="I127:J127"/>
    <mergeCell ref="B128:D128"/>
    <mergeCell ref="E128:F128"/>
    <mergeCell ref="G128:H128"/>
    <mergeCell ref="I128:J128"/>
    <mergeCell ref="B133:D133"/>
    <mergeCell ref="E133:F133"/>
    <mergeCell ref="G133:H133"/>
    <mergeCell ref="I133:J133"/>
    <mergeCell ref="B134:D134"/>
    <mergeCell ref="E134:F134"/>
    <mergeCell ref="G134:H134"/>
    <mergeCell ref="I134:J134"/>
    <mergeCell ref="B131:H131"/>
    <mergeCell ref="I131:J131"/>
    <mergeCell ref="B132:D132"/>
    <mergeCell ref="E132:F132"/>
    <mergeCell ref="G132:H132"/>
    <mergeCell ref="I132:J132"/>
    <mergeCell ref="B138:D138"/>
    <mergeCell ref="E138:F138"/>
    <mergeCell ref="G138:H138"/>
    <mergeCell ref="I138:J138"/>
    <mergeCell ref="B139:H139"/>
    <mergeCell ref="I139:J139"/>
    <mergeCell ref="A135:J135"/>
    <mergeCell ref="A136:J136"/>
    <mergeCell ref="B137:D137"/>
    <mergeCell ref="E137:F137"/>
    <mergeCell ref="G137:H137"/>
    <mergeCell ref="I137:J137"/>
    <mergeCell ref="B142:D142"/>
    <mergeCell ref="E142:F142"/>
    <mergeCell ref="G142:H142"/>
    <mergeCell ref="I142:J142"/>
    <mergeCell ref="B143:D143"/>
    <mergeCell ref="E143:F143"/>
    <mergeCell ref="G143:H143"/>
    <mergeCell ref="I143:J143"/>
    <mergeCell ref="B140:D140"/>
    <mergeCell ref="E140:F140"/>
    <mergeCell ref="G140:H140"/>
    <mergeCell ref="I140:J140"/>
    <mergeCell ref="B141:H141"/>
    <mergeCell ref="I141:J141"/>
    <mergeCell ref="A144:J144"/>
    <mergeCell ref="B145:D145"/>
    <mergeCell ref="E145:F145"/>
    <mergeCell ref="G145:H145"/>
    <mergeCell ref="I145:J145"/>
    <mergeCell ref="B146:D146"/>
    <mergeCell ref="E146:F146"/>
    <mergeCell ref="G146:H146"/>
    <mergeCell ref="I146:J146"/>
    <mergeCell ref="B149:D149"/>
    <mergeCell ref="E149:F149"/>
    <mergeCell ref="G149:H149"/>
    <mergeCell ref="I149:J149"/>
    <mergeCell ref="B150:D150"/>
    <mergeCell ref="E150:F150"/>
    <mergeCell ref="G150:H150"/>
    <mergeCell ref="I150:J150"/>
    <mergeCell ref="B147:H147"/>
    <mergeCell ref="I147:J147"/>
    <mergeCell ref="B148:D148"/>
    <mergeCell ref="E148:F148"/>
    <mergeCell ref="G148:H148"/>
    <mergeCell ref="I148:J148"/>
    <mergeCell ref="B153:D153"/>
    <mergeCell ref="E153:F153"/>
    <mergeCell ref="G153:H153"/>
    <mergeCell ref="I153:J153"/>
    <mergeCell ref="B154:D154"/>
    <mergeCell ref="E154:F154"/>
    <mergeCell ref="G154:H154"/>
    <mergeCell ref="I154:J154"/>
    <mergeCell ref="B151:D151"/>
    <mergeCell ref="E151:F151"/>
    <mergeCell ref="G151:H151"/>
    <mergeCell ref="I151:J151"/>
    <mergeCell ref="B152:D152"/>
    <mergeCell ref="E152:F152"/>
    <mergeCell ref="G152:H152"/>
    <mergeCell ref="I152:J152"/>
    <mergeCell ref="B157:D157"/>
    <mergeCell ref="E157:F157"/>
    <mergeCell ref="G157:H157"/>
    <mergeCell ref="I157:J157"/>
    <mergeCell ref="B158:D158"/>
    <mergeCell ref="E158:F158"/>
    <mergeCell ref="G158:H158"/>
    <mergeCell ref="I158:J158"/>
    <mergeCell ref="B155:D155"/>
    <mergeCell ref="E155:F155"/>
    <mergeCell ref="G155:H155"/>
    <mergeCell ref="I155:J155"/>
    <mergeCell ref="B156:D156"/>
    <mergeCell ref="E156:F156"/>
    <mergeCell ref="G156:H156"/>
    <mergeCell ref="I156:J156"/>
    <mergeCell ref="B161:D161"/>
    <mergeCell ref="E161:F161"/>
    <mergeCell ref="G161:H161"/>
    <mergeCell ref="I161:J161"/>
    <mergeCell ref="B162:D162"/>
    <mergeCell ref="E162:F162"/>
    <mergeCell ref="G162:H162"/>
    <mergeCell ref="I162:J162"/>
    <mergeCell ref="B159:H159"/>
    <mergeCell ref="I159:J159"/>
    <mergeCell ref="B160:D160"/>
    <mergeCell ref="E160:F160"/>
    <mergeCell ref="G160:H160"/>
    <mergeCell ref="I160:J160"/>
    <mergeCell ref="B165:D165"/>
    <mergeCell ref="E165:F165"/>
    <mergeCell ref="G165:H165"/>
    <mergeCell ref="I165:J165"/>
    <mergeCell ref="B166:D166"/>
    <mergeCell ref="E166:F166"/>
    <mergeCell ref="G166:H166"/>
    <mergeCell ref="I166:J166"/>
    <mergeCell ref="B163:D163"/>
    <mergeCell ref="E163:F163"/>
    <mergeCell ref="G163:H163"/>
    <mergeCell ref="I163:J163"/>
    <mergeCell ref="B164:D164"/>
    <mergeCell ref="E164:F164"/>
    <mergeCell ref="G164:H164"/>
    <mergeCell ref="I164:J164"/>
    <mergeCell ref="B169:D169"/>
    <mergeCell ref="E169:F169"/>
    <mergeCell ref="G169:H169"/>
    <mergeCell ref="I169:J169"/>
    <mergeCell ref="B170:D170"/>
    <mergeCell ref="E170:F170"/>
    <mergeCell ref="G170:H170"/>
    <mergeCell ref="I170:J170"/>
    <mergeCell ref="B167:D167"/>
    <mergeCell ref="E167:F167"/>
    <mergeCell ref="G167:H167"/>
    <mergeCell ref="I167:J167"/>
    <mergeCell ref="B168:D168"/>
    <mergeCell ref="E168:F168"/>
    <mergeCell ref="G168:H168"/>
    <mergeCell ref="I168:J168"/>
    <mergeCell ref="B174:D174"/>
    <mergeCell ref="E174:F174"/>
    <mergeCell ref="G174:H174"/>
    <mergeCell ref="I174:J174"/>
    <mergeCell ref="B175:H175"/>
    <mergeCell ref="I175:J175"/>
    <mergeCell ref="B171:D171"/>
    <mergeCell ref="E171:F171"/>
    <mergeCell ref="G171:H171"/>
    <mergeCell ref="I171:J171"/>
    <mergeCell ref="A172:J172"/>
    <mergeCell ref="B173:D173"/>
    <mergeCell ref="E173:F173"/>
    <mergeCell ref="G173:H173"/>
    <mergeCell ref="I173:J173"/>
    <mergeCell ref="B178:D178"/>
    <mergeCell ref="E178:F178"/>
    <mergeCell ref="G178:H178"/>
    <mergeCell ref="I178:J178"/>
    <mergeCell ref="B179:D179"/>
    <mergeCell ref="E179:F179"/>
    <mergeCell ref="G179:H179"/>
    <mergeCell ref="I179:J179"/>
    <mergeCell ref="B176:D176"/>
    <mergeCell ref="E176:F176"/>
    <mergeCell ref="G176:H176"/>
    <mergeCell ref="I176:J176"/>
    <mergeCell ref="B177:D177"/>
    <mergeCell ref="E177:F177"/>
    <mergeCell ref="G177:H177"/>
    <mergeCell ref="I177:J177"/>
    <mergeCell ref="B182:D182"/>
    <mergeCell ref="E182:F182"/>
    <mergeCell ref="G182:H182"/>
    <mergeCell ref="I182:J182"/>
    <mergeCell ref="B183:D183"/>
    <mergeCell ref="E183:F183"/>
    <mergeCell ref="G183:H183"/>
    <mergeCell ref="I183:J183"/>
    <mergeCell ref="B180:D180"/>
    <mergeCell ref="E180:F180"/>
    <mergeCell ref="G180:H180"/>
    <mergeCell ref="I180:J180"/>
    <mergeCell ref="B181:D181"/>
    <mergeCell ref="E181:F181"/>
    <mergeCell ref="G181:H181"/>
    <mergeCell ref="I181:J181"/>
    <mergeCell ref="B186:D186"/>
    <mergeCell ref="E186:F186"/>
    <mergeCell ref="G186:H186"/>
    <mergeCell ref="I186:J186"/>
    <mergeCell ref="B187:H187"/>
    <mergeCell ref="I187:J187"/>
    <mergeCell ref="B184:H184"/>
    <mergeCell ref="I184:J184"/>
    <mergeCell ref="B185:D185"/>
    <mergeCell ref="E185:F185"/>
    <mergeCell ref="G185:H185"/>
    <mergeCell ref="I185:J185"/>
    <mergeCell ref="B190:D190"/>
    <mergeCell ref="E190:F190"/>
    <mergeCell ref="G190:H190"/>
    <mergeCell ref="I190:J190"/>
    <mergeCell ref="B191:D191"/>
    <mergeCell ref="E191:F191"/>
    <mergeCell ref="G191:H191"/>
    <mergeCell ref="I191:J191"/>
    <mergeCell ref="B188:D188"/>
    <mergeCell ref="E188:F188"/>
    <mergeCell ref="G188:H188"/>
    <mergeCell ref="I188:J188"/>
    <mergeCell ref="B189:D189"/>
    <mergeCell ref="E189:F189"/>
    <mergeCell ref="G189:H189"/>
    <mergeCell ref="I189:J189"/>
    <mergeCell ref="B194:H194"/>
    <mergeCell ref="I194:J194"/>
    <mergeCell ref="B195:D195"/>
    <mergeCell ref="E195:F195"/>
    <mergeCell ref="G195:H195"/>
    <mergeCell ref="I195:J195"/>
    <mergeCell ref="B192:D192"/>
    <mergeCell ref="E192:F192"/>
    <mergeCell ref="G192:H192"/>
    <mergeCell ref="I192:J192"/>
    <mergeCell ref="B193:D193"/>
    <mergeCell ref="E193:F193"/>
    <mergeCell ref="G193:H193"/>
    <mergeCell ref="I193:J193"/>
    <mergeCell ref="B198:D198"/>
    <mergeCell ref="E198:F198"/>
    <mergeCell ref="G198:H198"/>
    <mergeCell ref="I198:J198"/>
    <mergeCell ref="B199:D199"/>
    <mergeCell ref="E199:F199"/>
    <mergeCell ref="G199:H199"/>
    <mergeCell ref="I199:J199"/>
    <mergeCell ref="B196:D196"/>
    <mergeCell ref="E196:F196"/>
    <mergeCell ref="G196:H196"/>
    <mergeCell ref="I196:J196"/>
    <mergeCell ref="B197:H197"/>
    <mergeCell ref="I197:J197"/>
    <mergeCell ref="A200:J200"/>
    <mergeCell ref="B201:D201"/>
    <mergeCell ref="E201:F201"/>
    <mergeCell ref="G201:H201"/>
    <mergeCell ref="I201:J201"/>
    <mergeCell ref="B202:D202"/>
    <mergeCell ref="E202:F202"/>
    <mergeCell ref="G202:H202"/>
    <mergeCell ref="I202:J202"/>
    <mergeCell ref="B205:D205"/>
    <mergeCell ref="G205:H205"/>
    <mergeCell ref="I205:J205"/>
    <mergeCell ref="B206:D206"/>
    <mergeCell ref="G206:H206"/>
    <mergeCell ref="I206:J206"/>
    <mergeCell ref="B203:D203"/>
    <mergeCell ref="G203:H203"/>
    <mergeCell ref="I203:J203"/>
    <mergeCell ref="B204:D204"/>
    <mergeCell ref="G204:H204"/>
    <mergeCell ref="I204:J204"/>
    <mergeCell ref="B210:D210"/>
    <mergeCell ref="E210:F210"/>
    <mergeCell ref="G210:H210"/>
    <mergeCell ref="I210:J210"/>
    <mergeCell ref="B211:D211"/>
    <mergeCell ref="G211:H211"/>
    <mergeCell ref="I211:J211"/>
    <mergeCell ref="B207:D207"/>
    <mergeCell ref="E207:F207"/>
    <mergeCell ref="G207:H207"/>
    <mergeCell ref="I207:J207"/>
    <mergeCell ref="A208:J208"/>
    <mergeCell ref="B209:D209"/>
    <mergeCell ref="E209:F209"/>
    <mergeCell ref="G209:H209"/>
    <mergeCell ref="I209:J209"/>
    <mergeCell ref="B214:D214"/>
    <mergeCell ref="G214:H214"/>
    <mergeCell ref="I214:J214"/>
    <mergeCell ref="B215:D215"/>
    <mergeCell ref="E215:F215"/>
    <mergeCell ref="G215:H215"/>
    <mergeCell ref="I215:J215"/>
    <mergeCell ref="B212:D212"/>
    <mergeCell ref="G212:H212"/>
    <mergeCell ref="I212:J212"/>
    <mergeCell ref="B213:D213"/>
    <mergeCell ref="G213:H213"/>
    <mergeCell ref="I213:J213"/>
    <mergeCell ref="B220:D220"/>
    <mergeCell ref="E220:F220"/>
    <mergeCell ref="B221:D221"/>
    <mergeCell ref="E221:F221"/>
    <mergeCell ref="B222:D222"/>
    <mergeCell ref="E222:F222"/>
    <mergeCell ref="A216:J216"/>
    <mergeCell ref="A217:A218"/>
    <mergeCell ref="B217:D218"/>
    <mergeCell ref="E217:F218"/>
    <mergeCell ref="G217:J217"/>
    <mergeCell ref="B219:D219"/>
    <mergeCell ref="E219:F219"/>
    <mergeCell ref="G219:J219"/>
    <mergeCell ref="A240:B240"/>
    <mergeCell ref="A233:C233"/>
    <mergeCell ref="D234:E234"/>
    <mergeCell ref="A235:C235"/>
    <mergeCell ref="D236:E236"/>
    <mergeCell ref="B223:D223"/>
    <mergeCell ref="E223:F223"/>
    <mergeCell ref="G223:J223"/>
    <mergeCell ref="A231:C231"/>
    <mergeCell ref="D232:E232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view="pageBreakPreview" topLeftCell="A184" zoomScale="60" zoomScaleNormal="100" workbookViewId="0">
      <selection activeCell="J227" sqref="J227"/>
    </sheetView>
  </sheetViews>
  <sheetFormatPr defaultColWidth="9.140625" defaultRowHeight="15" x14ac:dyDescent="0.25"/>
  <cols>
    <col min="1" max="1" width="5.140625" style="93" customWidth="1"/>
    <col min="2" max="2" width="25" style="93" customWidth="1"/>
    <col min="3" max="3" width="9.140625" style="93"/>
    <col min="4" max="4" width="12.28515625" style="93" customWidth="1"/>
    <col min="5" max="5" width="11.140625" style="93" customWidth="1"/>
    <col min="6" max="6" width="12.140625" style="93" customWidth="1"/>
    <col min="7" max="7" width="11.140625" style="93" customWidth="1"/>
    <col min="8" max="8" width="10.85546875" style="93" customWidth="1"/>
    <col min="9" max="9" width="9.5703125" style="93" bestFit="1" customWidth="1"/>
    <col min="10" max="10" width="17.5703125" style="93" customWidth="1"/>
    <col min="11" max="11" width="14.28515625" style="93" customWidth="1"/>
    <col min="12" max="12" width="14" style="93" customWidth="1"/>
    <col min="13" max="13" width="15.85546875" style="1" customWidth="1"/>
    <col min="14" max="16384" width="9.140625" style="93"/>
  </cols>
  <sheetData>
    <row r="1" spans="1:10" s="93" customFormat="1" ht="15.75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s="93" customFormat="1" ht="15.75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0" s="93" customFormat="1" ht="15.75" x14ac:dyDescent="0.25">
      <c r="A3" s="432" t="s">
        <v>579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0" s="93" customFormat="1" ht="15.75" x14ac:dyDescent="0.25">
      <c r="A4" s="92"/>
      <c r="D4" s="94" t="s">
        <v>266</v>
      </c>
      <c r="E4" s="294">
        <v>2022</v>
      </c>
      <c r="F4" s="96" t="s">
        <v>648</v>
      </c>
    </row>
    <row r="5" spans="1:10" s="93" customFormat="1" ht="15.75" x14ac:dyDescent="0.25">
      <c r="A5" s="433" t="s">
        <v>345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0" s="93" customFormat="1" ht="15.75" x14ac:dyDescent="0.25">
      <c r="A6" s="92" t="s">
        <v>80</v>
      </c>
      <c r="C6" s="97">
        <v>111</v>
      </c>
      <c r="D6" s="97">
        <v>119</v>
      </c>
      <c r="E6" s="97"/>
      <c r="F6" s="98"/>
      <c r="G6" s="98"/>
      <c r="H6" s="98"/>
      <c r="I6" s="98"/>
      <c r="J6" s="98"/>
    </row>
    <row r="7" spans="1:10" s="93" customFormat="1" ht="15.75" x14ac:dyDescent="0.25">
      <c r="A7" s="92" t="s">
        <v>81</v>
      </c>
      <c r="D7" s="99" t="s">
        <v>380</v>
      </c>
      <c r="E7" s="99"/>
      <c r="F7" s="100"/>
      <c r="G7" s="99"/>
      <c r="H7" s="100"/>
      <c r="I7" s="100"/>
      <c r="J7" s="100"/>
    </row>
    <row r="8" spans="1:10" s="93" customFormat="1" ht="15.75" x14ac:dyDescent="0.25">
      <c r="A8" s="434" t="s">
        <v>295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0" s="93" customFormat="1" x14ac:dyDescent="0.25">
      <c r="A9" s="636" t="s">
        <v>1</v>
      </c>
      <c r="B9" s="636" t="s">
        <v>2</v>
      </c>
      <c r="C9" s="636" t="s">
        <v>3</v>
      </c>
      <c r="D9" s="639" t="s">
        <v>4</v>
      </c>
      <c r="E9" s="640"/>
      <c r="F9" s="640"/>
      <c r="G9" s="641"/>
      <c r="H9" s="636" t="s">
        <v>5</v>
      </c>
      <c r="I9" s="636" t="s">
        <v>6</v>
      </c>
      <c r="J9" s="636" t="s">
        <v>316</v>
      </c>
    </row>
    <row r="10" spans="1:10" s="93" customFormat="1" x14ac:dyDescent="0.25">
      <c r="A10" s="637"/>
      <c r="B10" s="637"/>
      <c r="C10" s="637"/>
      <c r="D10" s="636" t="s">
        <v>8</v>
      </c>
      <c r="E10" s="639" t="s">
        <v>9</v>
      </c>
      <c r="F10" s="640"/>
      <c r="G10" s="641"/>
      <c r="H10" s="637"/>
      <c r="I10" s="637"/>
      <c r="J10" s="637"/>
    </row>
    <row r="11" spans="1:10" s="93" customFormat="1" ht="75" x14ac:dyDescent="0.25">
      <c r="A11" s="638"/>
      <c r="B11" s="638"/>
      <c r="C11" s="638"/>
      <c r="D11" s="638"/>
      <c r="E11" s="295" t="s">
        <v>10</v>
      </c>
      <c r="F11" s="295" t="s">
        <v>11</v>
      </c>
      <c r="G11" s="295" t="s">
        <v>12</v>
      </c>
      <c r="H11" s="638"/>
      <c r="I11" s="638"/>
      <c r="J11" s="638"/>
    </row>
    <row r="12" spans="1:10" s="93" customFormat="1" x14ac:dyDescent="0.25">
      <c r="A12" s="310">
        <v>1</v>
      </c>
      <c r="B12" s="310">
        <v>2</v>
      </c>
      <c r="C12" s="310">
        <v>3</v>
      </c>
      <c r="D12" s="310">
        <v>4</v>
      </c>
      <c r="E12" s="310">
        <v>5</v>
      </c>
      <c r="F12" s="310">
        <v>6</v>
      </c>
      <c r="G12" s="310">
        <v>7</v>
      </c>
      <c r="H12" s="310">
        <v>8</v>
      </c>
      <c r="I12" s="310">
        <v>9</v>
      </c>
      <c r="J12" s="310">
        <v>10</v>
      </c>
    </row>
    <row r="13" spans="1:10" s="371" customFormat="1" ht="14.25" x14ac:dyDescent="0.2">
      <c r="A13" s="429" t="s">
        <v>319</v>
      </c>
      <c r="B13" s="630"/>
      <c r="C13" s="630"/>
      <c r="D13" s="630"/>
      <c r="E13" s="630"/>
      <c r="F13" s="630"/>
      <c r="G13" s="630"/>
      <c r="H13" s="630"/>
      <c r="I13" s="630"/>
      <c r="J13" s="631"/>
    </row>
    <row r="14" spans="1:10" s="371" customFormat="1" x14ac:dyDescent="0.2">
      <c r="A14" s="295"/>
      <c r="B14" s="130"/>
      <c r="C14" s="225"/>
      <c r="D14" s="131"/>
      <c r="E14" s="131"/>
      <c r="F14" s="131"/>
      <c r="G14" s="131"/>
      <c r="H14" s="132"/>
      <c r="I14" s="295"/>
      <c r="J14" s="140">
        <f>(D14*(H14/100+I14))*9</f>
        <v>0</v>
      </c>
    </row>
    <row r="15" spans="1:10" s="372" customFormat="1" x14ac:dyDescent="0.25">
      <c r="A15" s="644" t="s">
        <v>320</v>
      </c>
      <c r="B15" s="645"/>
      <c r="C15" s="226">
        <f>SUM(C14:C14)</f>
        <v>0</v>
      </c>
      <c r="D15" s="155">
        <f>D14</f>
        <v>0</v>
      </c>
      <c r="E15" s="156" t="s">
        <v>14</v>
      </c>
      <c r="F15" s="156" t="s">
        <v>14</v>
      </c>
      <c r="G15" s="156" t="s">
        <v>14</v>
      </c>
      <c r="H15" s="156" t="s">
        <v>14</v>
      </c>
      <c r="I15" s="156" t="s">
        <v>14</v>
      </c>
      <c r="J15" s="154">
        <f>SUM(J14:J14)</f>
        <v>0</v>
      </c>
    </row>
    <row r="16" spans="1:10" s="372" customFormat="1" x14ac:dyDescent="0.25">
      <c r="A16" s="429" t="s">
        <v>337</v>
      </c>
      <c r="B16" s="630"/>
      <c r="C16" s="630"/>
      <c r="D16" s="630"/>
      <c r="E16" s="630"/>
      <c r="F16" s="630"/>
      <c r="G16" s="630"/>
      <c r="H16" s="630"/>
      <c r="I16" s="630"/>
      <c r="J16" s="631"/>
    </row>
    <row r="17" spans="1:12" s="372" customFormat="1" x14ac:dyDescent="0.25">
      <c r="A17" s="429" t="s">
        <v>338</v>
      </c>
      <c r="B17" s="630"/>
      <c r="C17" s="630"/>
      <c r="D17" s="630"/>
      <c r="E17" s="630"/>
      <c r="F17" s="630"/>
      <c r="G17" s="630"/>
      <c r="H17" s="630"/>
      <c r="I17" s="630"/>
      <c r="J17" s="631"/>
    </row>
    <row r="18" spans="1:12" s="372" customFormat="1" x14ac:dyDescent="0.25">
      <c r="A18" s="295"/>
      <c r="B18" s="157"/>
      <c r="C18" s="158"/>
      <c r="D18" s="131"/>
      <c r="E18" s="149"/>
      <c r="F18" s="131"/>
      <c r="G18" s="131"/>
      <c r="H18" s="132"/>
      <c r="I18" s="295"/>
      <c r="J18" s="140">
        <f t="shared" ref="J18" si="0">(D18*(H18/100+I18))*12</f>
        <v>0</v>
      </c>
    </row>
    <row r="19" spans="1:12" s="372" customFormat="1" x14ac:dyDescent="0.25">
      <c r="A19" s="632" t="s">
        <v>339</v>
      </c>
      <c r="B19" s="633"/>
      <c r="C19" s="159">
        <f>SUM(C18:C18)</f>
        <v>0</v>
      </c>
      <c r="D19" s="160"/>
      <c r="E19" s="161" t="s">
        <v>14</v>
      </c>
      <c r="F19" s="161" t="s">
        <v>14</v>
      </c>
      <c r="G19" s="161" t="s">
        <v>14</v>
      </c>
      <c r="H19" s="161" t="s">
        <v>14</v>
      </c>
      <c r="I19" s="161" t="s">
        <v>14</v>
      </c>
      <c r="J19" s="162">
        <f>SUM(J18:J18)</f>
        <v>0</v>
      </c>
    </row>
    <row r="20" spans="1:12" s="372" customFormat="1" x14ac:dyDescent="0.25">
      <c r="A20" s="429" t="s">
        <v>340</v>
      </c>
      <c r="B20" s="630"/>
      <c r="C20" s="630"/>
      <c r="D20" s="630"/>
      <c r="E20" s="630"/>
      <c r="F20" s="630"/>
      <c r="G20" s="630"/>
      <c r="H20" s="630"/>
      <c r="I20" s="630"/>
      <c r="J20" s="631"/>
    </row>
    <row r="21" spans="1:12" s="372" customFormat="1" x14ac:dyDescent="0.25">
      <c r="A21" s="295"/>
      <c r="B21" s="130"/>
      <c r="C21" s="140"/>
      <c r="D21" s="131"/>
      <c r="E21" s="131"/>
      <c r="F21" s="131"/>
      <c r="G21" s="131"/>
      <c r="H21" s="132"/>
      <c r="I21" s="295"/>
      <c r="J21" s="140">
        <f>(D21*(H21/100+I21))*10</f>
        <v>0</v>
      </c>
    </row>
    <row r="22" spans="1:12" s="372" customFormat="1" x14ac:dyDescent="0.25">
      <c r="A22" s="634" t="s">
        <v>341</v>
      </c>
      <c r="B22" s="635"/>
      <c r="C22" s="163">
        <f>SUM(C21:C21)</f>
        <v>0</v>
      </c>
      <c r="D22" s="155">
        <f>SUM(D21:D21)</f>
        <v>0</v>
      </c>
      <c r="E22" s="156" t="s">
        <v>14</v>
      </c>
      <c r="F22" s="156" t="s">
        <v>14</v>
      </c>
      <c r="G22" s="156" t="s">
        <v>14</v>
      </c>
      <c r="H22" s="156" t="s">
        <v>14</v>
      </c>
      <c r="I22" s="156" t="s">
        <v>14</v>
      </c>
      <c r="J22" s="155">
        <f>SUM(J21:J21)</f>
        <v>0</v>
      </c>
    </row>
    <row r="23" spans="1:12" s="372" customFormat="1" x14ac:dyDescent="0.25">
      <c r="A23" s="429" t="s">
        <v>375</v>
      </c>
      <c r="B23" s="630"/>
      <c r="C23" s="630"/>
      <c r="D23" s="630"/>
      <c r="E23" s="630"/>
      <c r="F23" s="630"/>
      <c r="G23" s="630"/>
      <c r="H23" s="630"/>
      <c r="I23" s="630"/>
      <c r="J23" s="631"/>
    </row>
    <row r="24" spans="1:12" s="372" customFormat="1" x14ac:dyDescent="0.25">
      <c r="A24" s="295"/>
      <c r="B24" s="130"/>
      <c r="C24" s="140"/>
      <c r="D24" s="131"/>
      <c r="E24" s="131"/>
      <c r="F24" s="131"/>
      <c r="G24" s="131"/>
      <c r="H24" s="132"/>
      <c r="I24" s="295"/>
      <c r="J24" s="140">
        <f>(D24*(H24/100+I24))*10</f>
        <v>0</v>
      </c>
    </row>
    <row r="25" spans="1:12" s="372" customFormat="1" x14ac:dyDescent="0.25">
      <c r="A25" s="634" t="s">
        <v>341</v>
      </c>
      <c r="B25" s="635"/>
      <c r="C25" s="163">
        <f>SUM(C24:C24)</f>
        <v>0</v>
      </c>
      <c r="D25" s="155">
        <f>SUM(D24:D24)</f>
        <v>0</v>
      </c>
      <c r="E25" s="156" t="s">
        <v>14</v>
      </c>
      <c r="F25" s="156" t="s">
        <v>14</v>
      </c>
      <c r="G25" s="156" t="s">
        <v>14</v>
      </c>
      <c r="H25" s="156" t="s">
        <v>14</v>
      </c>
      <c r="I25" s="156" t="s">
        <v>14</v>
      </c>
      <c r="J25" s="155">
        <f>SUM(J24:J24)</f>
        <v>0</v>
      </c>
    </row>
    <row r="26" spans="1:12" s="372" customFormat="1" x14ac:dyDescent="0.25">
      <c r="A26" s="642" t="s">
        <v>13</v>
      </c>
      <c r="B26" s="643"/>
      <c r="C26" s="227">
        <f>C15+C19+C22+C25</f>
        <v>0</v>
      </c>
      <c r="D26" s="164"/>
      <c r="E26" s="165" t="s">
        <v>14</v>
      </c>
      <c r="F26" s="165" t="s">
        <v>14</v>
      </c>
      <c r="G26" s="165" t="s">
        <v>14</v>
      </c>
      <c r="H26" s="165" t="s">
        <v>14</v>
      </c>
      <c r="I26" s="165" t="s">
        <v>14</v>
      </c>
      <c r="J26" s="166">
        <v>0</v>
      </c>
      <c r="K26" s="373"/>
      <c r="L26" s="374"/>
    </row>
    <row r="27" spans="1:12" s="372" customFormat="1" x14ac:dyDescent="0.25">
      <c r="A27" s="647"/>
      <c r="B27" s="647"/>
      <c r="C27" s="167"/>
      <c r="D27" s="168"/>
      <c r="E27" s="169"/>
      <c r="F27" s="169"/>
      <c r="G27" s="169"/>
      <c r="H27" s="169"/>
      <c r="I27" s="169"/>
      <c r="J27" s="170"/>
      <c r="K27" s="374"/>
    </row>
    <row r="28" spans="1:12" s="93" customFormat="1" ht="15.75" x14ac:dyDescent="0.25">
      <c r="A28" s="484" t="s">
        <v>581</v>
      </c>
      <c r="B28" s="484"/>
      <c r="C28" s="484"/>
      <c r="D28" s="484"/>
      <c r="E28" s="484"/>
      <c r="F28" s="484"/>
      <c r="G28" s="484"/>
      <c r="H28" s="484"/>
      <c r="I28" s="484"/>
      <c r="J28" s="484"/>
    </row>
    <row r="29" spans="1:12" s="93" customFormat="1" ht="38.25" x14ac:dyDescent="0.25">
      <c r="A29" s="293" t="s">
        <v>1</v>
      </c>
      <c r="B29" s="479" t="s">
        <v>15</v>
      </c>
      <c r="C29" s="646"/>
      <c r="D29" s="480"/>
      <c r="E29" s="479" t="s">
        <v>16</v>
      </c>
      <c r="F29" s="480"/>
      <c r="G29" s="293" t="s">
        <v>17</v>
      </c>
      <c r="H29" s="293" t="s">
        <v>18</v>
      </c>
      <c r="I29" s="479" t="s">
        <v>104</v>
      </c>
      <c r="J29" s="480"/>
    </row>
    <row r="30" spans="1:12" s="93" customFormat="1" x14ac:dyDescent="0.25">
      <c r="A30" s="293">
        <v>1</v>
      </c>
      <c r="B30" s="479">
        <v>2</v>
      </c>
      <c r="C30" s="646"/>
      <c r="D30" s="480"/>
      <c r="E30" s="479">
        <v>3</v>
      </c>
      <c r="F30" s="480"/>
      <c r="G30" s="293">
        <v>4</v>
      </c>
      <c r="H30" s="293">
        <v>5</v>
      </c>
      <c r="I30" s="479">
        <v>6</v>
      </c>
      <c r="J30" s="480"/>
    </row>
    <row r="31" spans="1:12" s="378" customFormat="1" ht="13.5" x14ac:dyDescent="0.2">
      <c r="A31" s="375"/>
      <c r="B31" s="656" t="s">
        <v>585</v>
      </c>
      <c r="C31" s="656"/>
      <c r="D31" s="656"/>
      <c r="E31" s="656"/>
      <c r="F31" s="656"/>
      <c r="G31" s="656"/>
      <c r="H31" s="656"/>
      <c r="I31" s="657">
        <f>SUM(I32)</f>
        <v>0</v>
      </c>
      <c r="J31" s="658"/>
      <c r="K31" s="376"/>
      <c r="L31" s="377"/>
    </row>
    <row r="32" spans="1:12" s="93" customFormat="1" x14ac:dyDescent="0.25">
      <c r="A32" s="301" t="s">
        <v>70</v>
      </c>
      <c r="B32" s="462" t="s">
        <v>580</v>
      </c>
      <c r="C32" s="463"/>
      <c r="D32" s="464"/>
      <c r="E32" s="301"/>
      <c r="F32" s="301">
        <v>1</v>
      </c>
      <c r="G32" s="611">
        <v>40000</v>
      </c>
      <c r="H32" s="612"/>
      <c r="I32" s="612"/>
      <c r="J32" s="613"/>
    </row>
    <row r="33" spans="1:10" s="93" customFormat="1" x14ac:dyDescent="0.25">
      <c r="A33" s="291"/>
      <c r="B33" s="648" t="s">
        <v>13</v>
      </c>
      <c r="C33" s="649"/>
      <c r="D33" s="650"/>
      <c r="E33" s="482" t="s">
        <v>14</v>
      </c>
      <c r="F33" s="483"/>
      <c r="G33" s="291" t="s">
        <v>14</v>
      </c>
      <c r="H33" s="291" t="s">
        <v>14</v>
      </c>
      <c r="I33" s="651">
        <f>G32</f>
        <v>40000</v>
      </c>
      <c r="J33" s="652"/>
    </row>
    <row r="34" spans="1:10" s="378" customFormat="1" ht="15.75" x14ac:dyDescent="0.25">
      <c r="A34" s="539" t="s">
        <v>360</v>
      </c>
      <c r="B34" s="539"/>
      <c r="C34" s="539"/>
      <c r="D34" s="539"/>
      <c r="E34" s="539"/>
      <c r="F34" s="539"/>
      <c r="G34" s="539"/>
      <c r="H34" s="539"/>
      <c r="I34" s="539"/>
      <c r="J34" s="539"/>
    </row>
    <row r="35" spans="1:10" s="378" customFormat="1" ht="51" x14ac:dyDescent="0.2">
      <c r="A35" s="293" t="s">
        <v>1</v>
      </c>
      <c r="B35" s="479" t="s">
        <v>15</v>
      </c>
      <c r="C35" s="646"/>
      <c r="D35" s="480"/>
      <c r="E35" s="479" t="s">
        <v>20</v>
      </c>
      <c r="F35" s="480"/>
      <c r="G35" s="293" t="s">
        <v>21</v>
      </c>
      <c r="H35" s="293" t="s">
        <v>22</v>
      </c>
      <c r="I35" s="479" t="s">
        <v>19</v>
      </c>
      <c r="J35" s="480"/>
    </row>
    <row r="36" spans="1:10" s="93" customFormat="1" x14ac:dyDescent="0.25">
      <c r="A36" s="293">
        <v>1</v>
      </c>
      <c r="B36" s="479">
        <v>2</v>
      </c>
      <c r="C36" s="646"/>
      <c r="D36" s="480"/>
      <c r="E36" s="479">
        <v>3</v>
      </c>
      <c r="F36" s="480"/>
      <c r="G36" s="293">
        <v>4</v>
      </c>
      <c r="H36" s="293">
        <v>5</v>
      </c>
      <c r="I36" s="479">
        <v>6</v>
      </c>
      <c r="J36" s="480"/>
    </row>
    <row r="37" spans="1:10" s="93" customFormat="1" x14ac:dyDescent="0.25">
      <c r="A37" s="219"/>
      <c r="B37" s="653" t="s">
        <v>13</v>
      </c>
      <c r="C37" s="654"/>
      <c r="D37" s="655"/>
      <c r="E37" s="482" t="s">
        <v>14</v>
      </c>
      <c r="F37" s="483"/>
      <c r="G37" s="291" t="s">
        <v>14</v>
      </c>
      <c r="H37" s="291" t="s">
        <v>14</v>
      </c>
      <c r="I37" s="651"/>
      <c r="J37" s="652"/>
    </row>
    <row r="38" spans="1:10" s="93" customFormat="1" ht="15.75" x14ac:dyDescent="0.25">
      <c r="A38" s="539" t="s">
        <v>298</v>
      </c>
      <c r="B38" s="539"/>
      <c r="C38" s="539"/>
      <c r="D38" s="539"/>
      <c r="E38" s="539"/>
      <c r="F38" s="539"/>
      <c r="G38" s="539"/>
      <c r="H38" s="539"/>
      <c r="I38" s="539"/>
      <c r="J38" s="539"/>
    </row>
    <row r="39" spans="1:10" s="93" customFormat="1" ht="25.5" x14ac:dyDescent="0.25">
      <c r="A39" s="288" t="s">
        <v>1</v>
      </c>
      <c r="B39" s="490" t="s">
        <v>23</v>
      </c>
      <c r="C39" s="491"/>
      <c r="D39" s="491"/>
      <c r="E39" s="491"/>
      <c r="F39" s="492"/>
      <c r="G39" s="490" t="s">
        <v>24</v>
      </c>
      <c r="H39" s="492"/>
      <c r="I39" s="490" t="s">
        <v>25</v>
      </c>
      <c r="J39" s="492"/>
    </row>
    <row r="40" spans="1:10" s="93" customFormat="1" x14ac:dyDescent="0.25">
      <c r="A40" s="288">
        <v>1</v>
      </c>
      <c r="B40" s="490">
        <v>2</v>
      </c>
      <c r="C40" s="491"/>
      <c r="D40" s="491"/>
      <c r="E40" s="491"/>
      <c r="F40" s="492"/>
      <c r="G40" s="490">
        <v>3</v>
      </c>
      <c r="H40" s="492"/>
      <c r="I40" s="490">
        <v>4</v>
      </c>
      <c r="J40" s="492"/>
    </row>
    <row r="41" spans="1:10" s="93" customFormat="1" x14ac:dyDescent="0.25">
      <c r="A41" s="298" t="s">
        <v>70</v>
      </c>
      <c r="B41" s="472" t="s">
        <v>26</v>
      </c>
      <c r="C41" s="473"/>
      <c r="D41" s="473"/>
      <c r="E41" s="473"/>
      <c r="F41" s="474"/>
      <c r="G41" s="475" t="s">
        <v>14</v>
      </c>
      <c r="H41" s="476"/>
      <c r="I41" s="443">
        <f>SUM(I43:J45)</f>
        <v>0</v>
      </c>
      <c r="J41" s="444"/>
    </row>
    <row r="42" spans="1:10" s="378" customFormat="1" x14ac:dyDescent="0.25">
      <c r="A42" s="102"/>
      <c r="B42" s="496" t="s">
        <v>9</v>
      </c>
      <c r="C42" s="504"/>
      <c r="D42" s="504"/>
      <c r="E42" s="504"/>
      <c r="F42" s="497"/>
      <c r="G42" s="458"/>
      <c r="H42" s="459"/>
      <c r="I42" s="460"/>
      <c r="J42" s="461"/>
    </row>
    <row r="43" spans="1:10" s="93" customFormat="1" x14ac:dyDescent="0.25">
      <c r="A43" s="301" t="s">
        <v>27</v>
      </c>
      <c r="B43" s="566" t="s">
        <v>28</v>
      </c>
      <c r="C43" s="567"/>
      <c r="D43" s="567"/>
      <c r="E43" s="567"/>
      <c r="F43" s="568"/>
      <c r="G43" s="465">
        <f>J26</f>
        <v>0</v>
      </c>
      <c r="H43" s="466"/>
      <c r="I43" s="460">
        <f>G43*22%</f>
        <v>0</v>
      </c>
      <c r="J43" s="461"/>
    </row>
    <row r="44" spans="1:10" s="93" customFormat="1" x14ac:dyDescent="0.25">
      <c r="A44" s="301" t="s">
        <v>29</v>
      </c>
      <c r="B44" s="455" t="s">
        <v>30</v>
      </c>
      <c r="C44" s="456"/>
      <c r="D44" s="456"/>
      <c r="E44" s="456"/>
      <c r="F44" s="457"/>
      <c r="G44" s="458"/>
      <c r="H44" s="459"/>
      <c r="I44" s="460"/>
      <c r="J44" s="461"/>
    </row>
    <row r="45" spans="1:10" s="93" customFormat="1" x14ac:dyDescent="0.25">
      <c r="A45" s="301" t="s">
        <v>31</v>
      </c>
      <c r="B45" s="462" t="s">
        <v>32</v>
      </c>
      <c r="C45" s="463"/>
      <c r="D45" s="463"/>
      <c r="E45" s="463"/>
      <c r="F45" s="464"/>
      <c r="G45" s="458"/>
      <c r="H45" s="459"/>
      <c r="I45" s="460"/>
      <c r="J45" s="461"/>
    </row>
    <row r="46" spans="1:10" s="93" customFormat="1" x14ac:dyDescent="0.25">
      <c r="A46" s="298" t="s">
        <v>75</v>
      </c>
      <c r="B46" s="472" t="s">
        <v>33</v>
      </c>
      <c r="C46" s="473"/>
      <c r="D46" s="473"/>
      <c r="E46" s="473"/>
      <c r="F46" s="474"/>
      <c r="G46" s="475" t="s">
        <v>14</v>
      </c>
      <c r="H46" s="476"/>
      <c r="I46" s="443">
        <f>SUM(I48:J52)</f>
        <v>0</v>
      </c>
      <c r="J46" s="444"/>
    </row>
    <row r="47" spans="1:10" s="93" customFormat="1" x14ac:dyDescent="0.25">
      <c r="A47" s="102"/>
      <c r="B47" s="496" t="s">
        <v>9</v>
      </c>
      <c r="C47" s="504"/>
      <c r="D47" s="504"/>
      <c r="E47" s="504"/>
      <c r="F47" s="497"/>
      <c r="G47" s="458"/>
      <c r="H47" s="459"/>
      <c r="I47" s="460"/>
      <c r="J47" s="461"/>
    </row>
    <row r="48" spans="1:10" s="93" customFormat="1" x14ac:dyDescent="0.25">
      <c r="A48" s="301" t="s">
        <v>34</v>
      </c>
      <c r="B48" s="462" t="s">
        <v>35</v>
      </c>
      <c r="C48" s="463"/>
      <c r="D48" s="463"/>
      <c r="E48" s="463"/>
      <c r="F48" s="464"/>
      <c r="G48" s="465">
        <f>G43</f>
        <v>0</v>
      </c>
      <c r="H48" s="466"/>
      <c r="I48" s="460">
        <f>G48*2.9%</f>
        <v>0</v>
      </c>
      <c r="J48" s="461"/>
    </row>
    <row r="49" spans="1:12" s="93" customFormat="1" x14ac:dyDescent="0.25">
      <c r="A49" s="301" t="s">
        <v>36</v>
      </c>
      <c r="B49" s="462" t="s">
        <v>37</v>
      </c>
      <c r="C49" s="463"/>
      <c r="D49" s="463"/>
      <c r="E49" s="463"/>
      <c r="F49" s="464"/>
      <c r="G49" s="458"/>
      <c r="H49" s="459"/>
      <c r="I49" s="460"/>
      <c r="J49" s="461"/>
    </row>
    <row r="50" spans="1:12" s="93" customFormat="1" x14ac:dyDescent="0.25">
      <c r="A50" s="301" t="s">
        <v>38</v>
      </c>
      <c r="B50" s="462" t="s">
        <v>39</v>
      </c>
      <c r="C50" s="463"/>
      <c r="D50" s="463"/>
      <c r="E50" s="463"/>
      <c r="F50" s="464"/>
      <c r="G50" s="465">
        <f>G43</f>
        <v>0</v>
      </c>
      <c r="H50" s="466"/>
      <c r="I50" s="460">
        <f>G50*0.2%</f>
        <v>0</v>
      </c>
      <c r="J50" s="461"/>
    </row>
    <row r="51" spans="1:12" s="93" customFormat="1" x14ac:dyDescent="0.25">
      <c r="A51" s="301" t="s">
        <v>40</v>
      </c>
      <c r="B51" s="462" t="s">
        <v>41</v>
      </c>
      <c r="C51" s="463"/>
      <c r="D51" s="463"/>
      <c r="E51" s="463"/>
      <c r="F51" s="464"/>
      <c r="G51" s="458"/>
      <c r="H51" s="459"/>
      <c r="I51" s="460"/>
      <c r="J51" s="461"/>
    </row>
    <row r="52" spans="1:12" s="93" customFormat="1" x14ac:dyDescent="0.25">
      <c r="A52" s="301" t="s">
        <v>42</v>
      </c>
      <c r="B52" s="462" t="s">
        <v>41</v>
      </c>
      <c r="C52" s="463"/>
      <c r="D52" s="463"/>
      <c r="E52" s="463"/>
      <c r="F52" s="464"/>
      <c r="G52" s="458"/>
      <c r="H52" s="459"/>
      <c r="I52" s="460"/>
      <c r="J52" s="461"/>
      <c r="K52" s="659"/>
      <c r="L52" s="660"/>
    </row>
    <row r="53" spans="1:12" s="378" customFormat="1" x14ac:dyDescent="0.25">
      <c r="A53" s="298" t="s">
        <v>77</v>
      </c>
      <c r="B53" s="472" t="s">
        <v>43</v>
      </c>
      <c r="C53" s="473"/>
      <c r="D53" s="473"/>
      <c r="E53" s="473"/>
      <c r="F53" s="474"/>
      <c r="G53" s="493">
        <f>G43</f>
        <v>0</v>
      </c>
      <c r="H53" s="494"/>
      <c r="I53" s="443">
        <f>G53*5.1%</f>
        <v>0</v>
      </c>
      <c r="J53" s="444"/>
      <c r="K53" s="379"/>
      <c r="L53" s="380"/>
    </row>
    <row r="54" spans="1:12" s="378" customFormat="1" x14ac:dyDescent="0.25">
      <c r="A54" s="301"/>
      <c r="B54" s="448" t="s">
        <v>13</v>
      </c>
      <c r="C54" s="449"/>
      <c r="D54" s="449"/>
      <c r="E54" s="449"/>
      <c r="F54" s="450"/>
      <c r="G54" s="451" t="s">
        <v>14</v>
      </c>
      <c r="H54" s="452"/>
      <c r="I54" s="623"/>
      <c r="J54" s="624"/>
    </row>
    <row r="55" spans="1:12" s="93" customFormat="1" x14ac:dyDescent="0.25">
      <c r="A55" s="488" t="s">
        <v>205</v>
      </c>
      <c r="B55" s="488"/>
      <c r="C55" s="488"/>
      <c r="D55" s="488"/>
      <c r="E55" s="488"/>
      <c r="F55" s="488"/>
      <c r="G55" s="488"/>
      <c r="H55" s="488"/>
      <c r="I55" s="488"/>
      <c r="J55" s="488"/>
      <c r="K55" s="381"/>
      <c r="L55" s="381"/>
    </row>
    <row r="56" spans="1:12" s="378" customFormat="1" ht="15.75" x14ac:dyDescent="0.25">
      <c r="A56" s="489" t="s">
        <v>361</v>
      </c>
      <c r="B56" s="489"/>
      <c r="C56" s="489"/>
      <c r="D56" s="489"/>
      <c r="E56" s="489"/>
      <c r="F56" s="489"/>
      <c r="G56" s="489"/>
      <c r="H56" s="489"/>
      <c r="I56" s="489"/>
      <c r="J56" s="489"/>
      <c r="K56" s="379"/>
      <c r="L56" s="380"/>
    </row>
    <row r="57" spans="1:12" s="378" customFormat="1" x14ac:dyDescent="0.25">
      <c r="A57" s="221" t="s">
        <v>80</v>
      </c>
      <c r="B57" s="93"/>
      <c r="C57" s="97"/>
      <c r="D57" s="97"/>
      <c r="E57" s="97"/>
      <c r="F57" s="98"/>
      <c r="G57" s="98"/>
      <c r="H57" s="98"/>
      <c r="I57" s="98"/>
      <c r="J57" s="98"/>
    </row>
    <row r="58" spans="1:12" s="93" customFormat="1" x14ac:dyDescent="0.25">
      <c r="A58" s="221" t="s">
        <v>81</v>
      </c>
      <c r="E58" s="99"/>
      <c r="F58" s="100"/>
      <c r="G58" s="100"/>
      <c r="H58" s="100"/>
      <c r="I58" s="100"/>
      <c r="J58" s="100"/>
    </row>
    <row r="59" spans="1:12" s="93" customFormat="1" ht="25.5" x14ac:dyDescent="0.25">
      <c r="A59" s="288" t="s">
        <v>1</v>
      </c>
      <c r="B59" s="490" t="s">
        <v>44</v>
      </c>
      <c r="C59" s="491"/>
      <c r="D59" s="492"/>
      <c r="E59" s="490" t="s">
        <v>45</v>
      </c>
      <c r="F59" s="492"/>
      <c r="G59" s="490" t="s">
        <v>46</v>
      </c>
      <c r="H59" s="492"/>
      <c r="I59" s="490" t="s">
        <v>102</v>
      </c>
      <c r="J59" s="492"/>
    </row>
    <row r="60" spans="1:12" s="378" customFormat="1" ht="12.75" x14ac:dyDescent="0.2">
      <c r="A60" s="288">
        <v>1</v>
      </c>
      <c r="B60" s="490">
        <v>2</v>
      </c>
      <c r="C60" s="491"/>
      <c r="D60" s="492"/>
      <c r="E60" s="490">
        <v>3</v>
      </c>
      <c r="F60" s="492"/>
      <c r="G60" s="490">
        <v>4</v>
      </c>
      <c r="H60" s="492"/>
      <c r="I60" s="490">
        <v>5</v>
      </c>
      <c r="J60" s="492"/>
    </row>
    <row r="61" spans="1:12" s="93" customFormat="1" x14ac:dyDescent="0.25">
      <c r="A61" s="299"/>
      <c r="B61" s="448" t="s">
        <v>13</v>
      </c>
      <c r="C61" s="449"/>
      <c r="D61" s="450"/>
      <c r="E61" s="451" t="s">
        <v>14</v>
      </c>
      <c r="F61" s="452"/>
      <c r="G61" s="451" t="s">
        <v>14</v>
      </c>
      <c r="H61" s="452"/>
      <c r="I61" s="451"/>
      <c r="J61" s="452"/>
      <c r="K61" s="125"/>
    </row>
    <row r="62" spans="1:12" s="93" customFormat="1" ht="15.75" x14ac:dyDescent="0.25">
      <c r="A62" s="540" t="s">
        <v>364</v>
      </c>
      <c r="B62" s="540"/>
      <c r="C62" s="540"/>
      <c r="D62" s="540"/>
      <c r="E62" s="540"/>
      <c r="F62" s="540"/>
      <c r="G62" s="540"/>
      <c r="H62" s="540"/>
      <c r="I62" s="540"/>
      <c r="J62" s="540"/>
    </row>
    <row r="63" spans="1:12" s="93" customFormat="1" x14ac:dyDescent="0.25">
      <c r="A63" s="221" t="s">
        <v>80</v>
      </c>
      <c r="C63" s="97"/>
      <c r="D63" s="97"/>
      <c r="E63" s="97"/>
      <c r="F63" s="98"/>
      <c r="G63" s="98"/>
      <c r="H63" s="98"/>
      <c r="I63" s="98"/>
      <c r="J63" s="98"/>
    </row>
    <row r="64" spans="1:12" s="93" customFormat="1" x14ac:dyDescent="0.25">
      <c r="A64" s="221" t="s">
        <v>81</v>
      </c>
      <c r="E64" s="99"/>
      <c r="F64" s="100"/>
      <c r="G64" s="100"/>
      <c r="H64" s="100"/>
      <c r="I64" s="100"/>
      <c r="J64" s="100"/>
    </row>
    <row r="65" spans="1:11" s="378" customFormat="1" ht="25.5" x14ac:dyDescent="0.2">
      <c r="A65" s="288" t="s">
        <v>1</v>
      </c>
      <c r="B65" s="490" t="s">
        <v>15</v>
      </c>
      <c r="C65" s="491"/>
      <c r="D65" s="492"/>
      <c r="E65" s="490" t="s">
        <v>47</v>
      </c>
      <c r="F65" s="492"/>
      <c r="G65" s="490" t="s">
        <v>48</v>
      </c>
      <c r="H65" s="492"/>
      <c r="I65" s="490" t="s">
        <v>103</v>
      </c>
      <c r="J65" s="492"/>
    </row>
    <row r="66" spans="1:11" s="378" customFormat="1" ht="12.75" x14ac:dyDescent="0.2">
      <c r="A66" s="288">
        <v>1</v>
      </c>
      <c r="B66" s="490">
        <v>2</v>
      </c>
      <c r="C66" s="491"/>
      <c r="D66" s="492"/>
      <c r="E66" s="490">
        <v>3</v>
      </c>
      <c r="F66" s="492"/>
      <c r="G66" s="490">
        <v>4</v>
      </c>
      <c r="H66" s="492"/>
      <c r="I66" s="490">
        <v>5</v>
      </c>
      <c r="J66" s="492"/>
    </row>
    <row r="67" spans="1:11" s="93" customFormat="1" x14ac:dyDescent="0.25">
      <c r="A67" s="299"/>
      <c r="B67" s="448" t="s">
        <v>13</v>
      </c>
      <c r="C67" s="449"/>
      <c r="D67" s="450"/>
      <c r="E67" s="451" t="s">
        <v>74</v>
      </c>
      <c r="F67" s="452"/>
      <c r="G67" s="451" t="s">
        <v>14</v>
      </c>
      <c r="H67" s="452"/>
      <c r="I67" s="627"/>
      <c r="J67" s="628"/>
    </row>
    <row r="68" spans="1:11" s="93" customFormat="1" ht="15.75" x14ac:dyDescent="0.25">
      <c r="A68" s="629" t="s">
        <v>85</v>
      </c>
      <c r="B68" s="629"/>
      <c r="C68" s="629"/>
      <c r="D68" s="629"/>
      <c r="E68" s="629"/>
      <c r="F68" s="629"/>
      <c r="G68" s="629"/>
      <c r="H68" s="629"/>
      <c r="I68" s="629"/>
      <c r="J68" s="629"/>
    </row>
    <row r="69" spans="1:11" s="93" customFormat="1" x14ac:dyDescent="0.25">
      <c r="A69" s="221" t="s">
        <v>80</v>
      </c>
      <c r="C69" s="97"/>
      <c r="D69" s="97"/>
      <c r="E69" s="97"/>
      <c r="F69" s="98"/>
      <c r="G69" s="98"/>
      <c r="H69" s="98"/>
      <c r="I69" s="98"/>
      <c r="J69" s="98"/>
    </row>
    <row r="70" spans="1:11" s="93" customFormat="1" x14ac:dyDescent="0.25">
      <c r="A70" s="221" t="s">
        <v>81</v>
      </c>
      <c r="E70" s="99"/>
      <c r="F70" s="100"/>
      <c r="G70" s="100"/>
      <c r="H70" s="100"/>
      <c r="I70" s="100"/>
      <c r="J70" s="100"/>
    </row>
    <row r="71" spans="1:11" s="93" customFormat="1" ht="25.5" x14ac:dyDescent="0.25">
      <c r="A71" s="288" t="s">
        <v>1</v>
      </c>
      <c r="B71" s="490" t="s">
        <v>44</v>
      </c>
      <c r="C71" s="491"/>
      <c r="D71" s="492"/>
      <c r="E71" s="490" t="s">
        <v>45</v>
      </c>
      <c r="F71" s="492"/>
      <c r="G71" s="490" t="s">
        <v>46</v>
      </c>
      <c r="H71" s="492"/>
      <c r="I71" s="490" t="s">
        <v>102</v>
      </c>
      <c r="J71" s="492"/>
    </row>
    <row r="72" spans="1:11" s="378" customFormat="1" ht="12.75" x14ac:dyDescent="0.2">
      <c r="A72" s="288">
        <v>1</v>
      </c>
      <c r="B72" s="490">
        <v>2</v>
      </c>
      <c r="C72" s="491"/>
      <c r="D72" s="492"/>
      <c r="E72" s="490">
        <v>3</v>
      </c>
      <c r="F72" s="492"/>
      <c r="G72" s="490">
        <v>4</v>
      </c>
      <c r="H72" s="492"/>
      <c r="I72" s="490">
        <v>5</v>
      </c>
      <c r="J72" s="492"/>
    </row>
    <row r="73" spans="1:11" s="93" customFormat="1" x14ac:dyDescent="0.25">
      <c r="A73" s="299"/>
      <c r="B73" s="448" t="s">
        <v>13</v>
      </c>
      <c r="C73" s="449"/>
      <c r="D73" s="450"/>
      <c r="E73" s="451" t="s">
        <v>14</v>
      </c>
      <c r="F73" s="452"/>
      <c r="G73" s="451" t="s">
        <v>14</v>
      </c>
      <c r="H73" s="452"/>
      <c r="I73" s="451"/>
      <c r="J73" s="452"/>
    </row>
    <row r="74" spans="1:11" s="378" customFormat="1" ht="15.75" x14ac:dyDescent="0.25">
      <c r="A74" s="668" t="s">
        <v>91</v>
      </c>
      <c r="B74" s="668"/>
      <c r="C74" s="668"/>
      <c r="D74" s="668"/>
      <c r="E74" s="668"/>
      <c r="F74" s="668"/>
      <c r="G74" s="668"/>
      <c r="H74" s="668"/>
      <c r="I74" s="668"/>
      <c r="J74" s="668"/>
    </row>
    <row r="75" spans="1:11" s="93" customFormat="1" x14ac:dyDescent="0.25">
      <c r="A75" s="221" t="s">
        <v>80</v>
      </c>
      <c r="C75" s="97"/>
      <c r="D75" s="97"/>
      <c r="E75" s="97"/>
      <c r="F75" s="98"/>
      <c r="G75" s="98"/>
      <c r="H75" s="98"/>
      <c r="I75" s="98"/>
      <c r="J75" s="98"/>
      <c r="K75" s="125"/>
    </row>
    <row r="76" spans="1:11" s="378" customFormat="1" x14ac:dyDescent="0.25">
      <c r="A76" s="221" t="s">
        <v>81</v>
      </c>
      <c r="B76" s="93"/>
      <c r="C76" s="93"/>
      <c r="D76" s="93"/>
      <c r="E76" s="99"/>
      <c r="F76" s="100"/>
      <c r="G76" s="99"/>
      <c r="H76" s="100"/>
      <c r="I76" s="100"/>
      <c r="J76" s="100"/>
    </row>
    <row r="77" spans="1:11" s="378" customFormat="1" ht="25.5" x14ac:dyDescent="0.2">
      <c r="A77" s="288" t="s">
        <v>1</v>
      </c>
      <c r="B77" s="490" t="s">
        <v>44</v>
      </c>
      <c r="C77" s="491"/>
      <c r="D77" s="492"/>
      <c r="E77" s="490" t="s">
        <v>45</v>
      </c>
      <c r="F77" s="492"/>
      <c r="G77" s="490" t="s">
        <v>46</v>
      </c>
      <c r="H77" s="492"/>
      <c r="I77" s="490" t="s">
        <v>102</v>
      </c>
      <c r="J77" s="492"/>
    </row>
    <row r="78" spans="1:11" s="378" customFormat="1" ht="12.75" x14ac:dyDescent="0.2">
      <c r="A78" s="288">
        <v>1</v>
      </c>
      <c r="B78" s="490">
        <v>2</v>
      </c>
      <c r="C78" s="491"/>
      <c r="D78" s="492"/>
      <c r="E78" s="490">
        <v>3</v>
      </c>
      <c r="F78" s="492"/>
      <c r="G78" s="490">
        <v>4</v>
      </c>
      <c r="H78" s="492"/>
      <c r="I78" s="490">
        <v>5</v>
      </c>
      <c r="J78" s="492"/>
    </row>
    <row r="79" spans="1:11" s="93" customFormat="1" x14ac:dyDescent="0.25">
      <c r="A79" s="301"/>
      <c r="B79" s="448" t="s">
        <v>13</v>
      </c>
      <c r="C79" s="449"/>
      <c r="D79" s="450"/>
      <c r="E79" s="451" t="s">
        <v>14</v>
      </c>
      <c r="F79" s="452"/>
      <c r="G79" s="451" t="s">
        <v>14</v>
      </c>
      <c r="H79" s="452"/>
      <c r="I79" s="451"/>
      <c r="J79" s="452"/>
    </row>
    <row r="80" spans="1:11" s="378" customFormat="1" ht="15.75" x14ac:dyDescent="0.25">
      <c r="A80" s="668" t="s">
        <v>49</v>
      </c>
      <c r="B80" s="668"/>
      <c r="C80" s="668"/>
      <c r="D80" s="668"/>
      <c r="E80" s="668"/>
      <c r="F80" s="668"/>
      <c r="G80" s="668"/>
      <c r="H80" s="668"/>
      <c r="I80" s="668"/>
      <c r="J80" s="668"/>
    </row>
    <row r="81" spans="1:12" s="378" customFormat="1" ht="15.75" x14ac:dyDescent="0.25">
      <c r="A81" s="92" t="s">
        <v>80</v>
      </c>
      <c r="B81" s="93"/>
      <c r="C81" s="97">
        <v>244</v>
      </c>
      <c r="D81" s="97"/>
      <c r="E81" s="97"/>
      <c r="F81" s="98"/>
      <c r="G81" s="98"/>
      <c r="H81" s="98"/>
      <c r="I81" s="98"/>
      <c r="J81" s="98"/>
    </row>
    <row r="82" spans="1:12" s="93" customFormat="1" ht="15.75" x14ac:dyDescent="0.25">
      <c r="A82" s="92" t="s">
        <v>81</v>
      </c>
      <c r="D82" s="99"/>
      <c r="E82" s="99"/>
      <c r="F82" s="100"/>
      <c r="G82" s="100"/>
      <c r="H82" s="100"/>
      <c r="I82" s="100"/>
      <c r="J82" s="100"/>
    </row>
    <row r="83" spans="1:12" s="93" customFormat="1" ht="15.75" x14ac:dyDescent="0.25">
      <c r="A83" s="434" t="s">
        <v>366</v>
      </c>
      <c r="B83" s="434"/>
      <c r="C83" s="434"/>
      <c r="D83" s="434"/>
      <c r="E83" s="434"/>
      <c r="F83" s="434"/>
      <c r="G83" s="434"/>
      <c r="H83" s="434"/>
      <c r="I83" s="434"/>
      <c r="J83" s="434"/>
    </row>
    <row r="84" spans="1:12" s="93" customFormat="1" ht="38.25" x14ac:dyDescent="0.25">
      <c r="A84" s="288" t="s">
        <v>1</v>
      </c>
      <c r="B84" s="490" t="s">
        <v>44</v>
      </c>
      <c r="C84" s="491"/>
      <c r="D84" s="492"/>
      <c r="E84" s="288" t="s">
        <v>55</v>
      </c>
      <c r="F84" s="490" t="s">
        <v>56</v>
      </c>
      <c r="G84" s="492"/>
      <c r="H84" s="288" t="s">
        <v>57</v>
      </c>
      <c r="I84" s="490" t="s">
        <v>104</v>
      </c>
      <c r="J84" s="492"/>
    </row>
    <row r="85" spans="1:12" s="93" customFormat="1" x14ac:dyDescent="0.25">
      <c r="A85" s="288">
        <v>1</v>
      </c>
      <c r="B85" s="490">
        <v>2</v>
      </c>
      <c r="C85" s="491"/>
      <c r="D85" s="492"/>
      <c r="E85" s="288">
        <v>3</v>
      </c>
      <c r="F85" s="490">
        <v>4</v>
      </c>
      <c r="G85" s="492"/>
      <c r="H85" s="288">
        <v>5</v>
      </c>
      <c r="I85" s="490">
        <v>6</v>
      </c>
      <c r="J85" s="492"/>
    </row>
    <row r="86" spans="1:12" s="119" customFormat="1" x14ac:dyDescent="0.25">
      <c r="A86" s="298">
        <v>1</v>
      </c>
      <c r="B86" s="661" t="s">
        <v>381</v>
      </c>
      <c r="C86" s="662"/>
      <c r="D86" s="663"/>
      <c r="E86" s="297"/>
      <c r="F86" s="664">
        <f>G88+G89</f>
        <v>0</v>
      </c>
      <c r="G86" s="665"/>
      <c r="H86" s="123"/>
      <c r="I86" s="666">
        <f>I88+I89+I90+I91+I87</f>
        <v>0</v>
      </c>
      <c r="J86" s="667"/>
    </row>
    <row r="87" spans="1:12" s="119" customFormat="1" x14ac:dyDescent="0.25">
      <c r="A87" s="309" t="s">
        <v>70</v>
      </c>
      <c r="B87" s="614" t="s">
        <v>376</v>
      </c>
      <c r="C87" s="615"/>
      <c r="D87" s="616"/>
      <c r="E87" s="192"/>
      <c r="F87" s="617"/>
      <c r="G87" s="618"/>
      <c r="H87" s="115"/>
      <c r="I87" s="619"/>
      <c r="J87" s="620"/>
    </row>
    <row r="88" spans="1:12" s="119" customFormat="1" x14ac:dyDescent="0.25">
      <c r="A88" s="309">
        <v>2</v>
      </c>
      <c r="B88" s="614" t="s">
        <v>153</v>
      </c>
      <c r="C88" s="615"/>
      <c r="D88" s="616"/>
      <c r="E88" s="192"/>
      <c r="F88" s="617"/>
      <c r="G88" s="618"/>
      <c r="H88" s="115"/>
      <c r="I88" s="619"/>
      <c r="J88" s="620"/>
    </row>
    <row r="89" spans="1:12" s="93" customFormat="1" x14ac:dyDescent="0.25">
      <c r="A89" s="309">
        <v>3</v>
      </c>
      <c r="B89" s="614" t="s">
        <v>154</v>
      </c>
      <c r="C89" s="615"/>
      <c r="D89" s="616"/>
      <c r="E89" s="201"/>
      <c r="F89" s="617"/>
      <c r="G89" s="618"/>
      <c r="H89" s="115"/>
      <c r="I89" s="619"/>
      <c r="J89" s="620"/>
    </row>
    <row r="90" spans="1:12" s="93" customFormat="1" x14ac:dyDescent="0.25">
      <c r="A90" s="309">
        <v>4</v>
      </c>
      <c r="B90" s="614" t="s">
        <v>155</v>
      </c>
      <c r="C90" s="615"/>
      <c r="D90" s="616"/>
      <c r="E90" s="171"/>
      <c r="F90" s="617"/>
      <c r="G90" s="618"/>
      <c r="H90" s="115"/>
      <c r="I90" s="619"/>
      <c r="J90" s="620"/>
    </row>
    <row r="91" spans="1:12" s="93" customFormat="1" x14ac:dyDescent="0.25">
      <c r="A91" s="309">
        <v>5</v>
      </c>
      <c r="B91" s="614" t="s">
        <v>152</v>
      </c>
      <c r="C91" s="615"/>
      <c r="D91" s="616"/>
      <c r="E91" s="114"/>
      <c r="F91" s="617"/>
      <c r="G91" s="618"/>
      <c r="H91" s="115"/>
      <c r="I91" s="619"/>
      <c r="J91" s="620"/>
    </row>
    <row r="92" spans="1:12" s="93" customFormat="1" x14ac:dyDescent="0.25">
      <c r="A92" s="301"/>
      <c r="B92" s="448" t="s">
        <v>13</v>
      </c>
      <c r="C92" s="449"/>
      <c r="D92" s="450"/>
      <c r="E92" s="299" t="s">
        <v>14</v>
      </c>
      <c r="F92" s="451" t="s">
        <v>14</v>
      </c>
      <c r="G92" s="452"/>
      <c r="H92" s="299" t="s">
        <v>14</v>
      </c>
      <c r="I92" s="621">
        <f>I86</f>
        <v>0</v>
      </c>
      <c r="J92" s="622"/>
      <c r="K92" s="382"/>
      <c r="L92" s="382"/>
    </row>
    <row r="93" spans="1:12" s="119" customFormat="1" ht="15.75" x14ac:dyDescent="0.25">
      <c r="A93" s="433" t="s">
        <v>367</v>
      </c>
      <c r="B93" s="433"/>
      <c r="C93" s="433"/>
      <c r="D93" s="433"/>
      <c r="E93" s="433"/>
      <c r="F93" s="433"/>
      <c r="G93" s="433"/>
      <c r="H93" s="433"/>
      <c r="I93" s="433"/>
      <c r="J93" s="433"/>
    </row>
    <row r="94" spans="1:12" s="93" customFormat="1" ht="25.5" x14ac:dyDescent="0.25">
      <c r="A94" s="288" t="s">
        <v>1</v>
      </c>
      <c r="B94" s="402" t="s">
        <v>15</v>
      </c>
      <c r="C94" s="402"/>
      <c r="D94" s="402"/>
      <c r="E94" s="288" t="s">
        <v>61</v>
      </c>
      <c r="F94" s="288" t="s">
        <v>62</v>
      </c>
      <c r="G94" s="402" t="s">
        <v>63</v>
      </c>
      <c r="H94" s="402"/>
      <c r="I94" s="402"/>
      <c r="J94" s="402"/>
    </row>
    <row r="95" spans="1:12" s="93" customFormat="1" x14ac:dyDescent="0.25">
      <c r="A95" s="288">
        <v>1</v>
      </c>
      <c r="B95" s="402">
        <v>2</v>
      </c>
      <c r="C95" s="402"/>
      <c r="D95" s="402"/>
      <c r="E95" s="288">
        <v>3</v>
      </c>
      <c r="F95" s="288">
        <v>4</v>
      </c>
      <c r="G95" s="490">
        <v>5</v>
      </c>
      <c r="H95" s="491"/>
      <c r="I95" s="491"/>
      <c r="J95" s="492"/>
    </row>
    <row r="96" spans="1:12" s="93" customFormat="1" x14ac:dyDescent="0.25">
      <c r="A96" s="298">
        <v>1</v>
      </c>
      <c r="B96" s="498" t="s">
        <v>382</v>
      </c>
      <c r="C96" s="499"/>
      <c r="D96" s="500"/>
      <c r="E96" s="472"/>
      <c r="F96" s="464"/>
      <c r="G96" s="664">
        <f>SUM(G97:J97)</f>
        <v>0</v>
      </c>
      <c r="H96" s="463"/>
      <c r="I96" s="463"/>
      <c r="J96" s="464"/>
    </row>
    <row r="97" spans="1:13" x14ac:dyDescent="0.25">
      <c r="A97" s="301"/>
      <c r="B97" s="455"/>
      <c r="C97" s="456"/>
      <c r="D97" s="457"/>
      <c r="E97" s="301">
        <v>1</v>
      </c>
      <c r="F97" s="301">
        <v>1</v>
      </c>
      <c r="G97" s="611"/>
      <c r="H97" s="612"/>
      <c r="I97" s="612"/>
      <c r="J97" s="613"/>
      <c r="M97" s="93"/>
    </row>
    <row r="98" spans="1:13" x14ac:dyDescent="0.25">
      <c r="A98" s="301"/>
      <c r="B98" s="507" t="s">
        <v>13</v>
      </c>
      <c r="C98" s="507"/>
      <c r="D98" s="507"/>
      <c r="E98" s="299" t="s">
        <v>14</v>
      </c>
      <c r="F98" s="299" t="s">
        <v>14</v>
      </c>
      <c r="G98" s="625">
        <v>0</v>
      </c>
      <c r="H98" s="626"/>
      <c r="I98" s="626"/>
      <c r="J98" s="626"/>
      <c r="M98" s="93"/>
    </row>
    <row r="99" spans="1:13" ht="15.75" x14ac:dyDescent="0.25">
      <c r="A99" s="433" t="s">
        <v>368</v>
      </c>
      <c r="B99" s="433"/>
      <c r="C99" s="433"/>
      <c r="D99" s="433"/>
      <c r="E99" s="433"/>
      <c r="F99" s="433"/>
      <c r="G99" s="433"/>
      <c r="H99" s="433"/>
      <c r="I99" s="433"/>
      <c r="J99" s="433"/>
      <c r="M99" s="93"/>
    </row>
    <row r="100" spans="1:13" ht="25.5" x14ac:dyDescent="0.25">
      <c r="A100" s="288" t="s">
        <v>1</v>
      </c>
      <c r="B100" s="402" t="s">
        <v>15</v>
      </c>
      <c r="C100" s="402"/>
      <c r="D100" s="402"/>
      <c r="E100" s="490" t="s">
        <v>64</v>
      </c>
      <c r="F100" s="492"/>
      <c r="G100" s="402" t="s">
        <v>65</v>
      </c>
      <c r="H100" s="402"/>
      <c r="I100" s="402"/>
      <c r="J100" s="402"/>
      <c r="M100" s="93"/>
    </row>
    <row r="101" spans="1:13" x14ac:dyDescent="0.25">
      <c r="A101" s="288">
        <v>1</v>
      </c>
      <c r="B101" s="402">
        <v>2</v>
      </c>
      <c r="C101" s="402"/>
      <c r="D101" s="402"/>
      <c r="E101" s="490">
        <v>3</v>
      </c>
      <c r="F101" s="492"/>
      <c r="G101" s="402">
        <v>4</v>
      </c>
      <c r="H101" s="402"/>
      <c r="I101" s="402"/>
      <c r="J101" s="402"/>
      <c r="M101" s="93"/>
    </row>
    <row r="102" spans="1:13" x14ac:dyDescent="0.25">
      <c r="A102" s="298">
        <v>1</v>
      </c>
      <c r="B102" s="661" t="s">
        <v>383</v>
      </c>
      <c r="C102" s="662"/>
      <c r="D102" s="663"/>
      <c r="E102" s="472"/>
      <c r="F102" s="464"/>
      <c r="G102" s="664">
        <f>G116</f>
        <v>232550</v>
      </c>
      <c r="H102" s="463"/>
      <c r="I102" s="463"/>
      <c r="J102" s="464"/>
      <c r="M102" s="93"/>
    </row>
    <row r="103" spans="1:13" x14ac:dyDescent="0.25">
      <c r="A103" s="375"/>
      <c r="B103" s="656" t="s">
        <v>583</v>
      </c>
      <c r="C103" s="656"/>
      <c r="D103" s="656"/>
      <c r="E103" s="656"/>
      <c r="F103" s="656"/>
      <c r="G103" s="656"/>
      <c r="H103" s="656"/>
      <c r="I103" s="657">
        <f>I104</f>
        <v>40000</v>
      </c>
      <c r="J103" s="658"/>
      <c r="K103" s="381"/>
      <c r="L103" s="381"/>
      <c r="M103" s="93"/>
    </row>
    <row r="104" spans="1:13" x14ac:dyDescent="0.25">
      <c r="A104" s="301" t="s">
        <v>70</v>
      </c>
      <c r="B104" s="510" t="s">
        <v>584</v>
      </c>
      <c r="C104" s="510"/>
      <c r="D104" s="510"/>
      <c r="E104" s="496">
        <v>1</v>
      </c>
      <c r="F104" s="497"/>
      <c r="G104" s="676">
        <v>40000</v>
      </c>
      <c r="H104" s="676"/>
      <c r="I104" s="549">
        <f>E104*G104</f>
        <v>40000</v>
      </c>
      <c r="J104" s="550"/>
      <c r="K104" s="381"/>
      <c r="L104" s="381"/>
      <c r="M104" s="93"/>
    </row>
    <row r="105" spans="1:13" s="320" customFormat="1" x14ac:dyDescent="0.25">
      <c r="A105" s="369"/>
      <c r="B105" s="606" t="s">
        <v>585</v>
      </c>
      <c r="C105" s="606"/>
      <c r="D105" s="606"/>
      <c r="E105" s="606"/>
      <c r="F105" s="606"/>
      <c r="G105" s="606"/>
      <c r="H105" s="606"/>
      <c r="I105" s="607">
        <f>SUM(I106:J108)</f>
        <v>91500</v>
      </c>
      <c r="J105" s="608"/>
      <c r="K105" s="370"/>
      <c r="L105" s="370"/>
    </row>
    <row r="106" spans="1:13" s="320" customFormat="1" x14ac:dyDescent="0.25">
      <c r="A106" s="291">
        <v>1</v>
      </c>
      <c r="B106" s="534" t="s">
        <v>586</v>
      </c>
      <c r="C106" s="534"/>
      <c r="D106" s="534"/>
      <c r="E106" s="602">
        <v>2</v>
      </c>
      <c r="F106" s="602"/>
      <c r="G106" s="684">
        <f>9000+10000</f>
        <v>19000</v>
      </c>
      <c r="H106" s="684"/>
      <c r="I106" s="603">
        <f>E106*G106</f>
        <v>38000</v>
      </c>
      <c r="J106" s="604"/>
      <c r="K106" s="370"/>
      <c r="L106" s="370"/>
    </row>
    <row r="107" spans="1:13" s="320" customFormat="1" x14ac:dyDescent="0.25">
      <c r="A107" s="291">
        <v>2</v>
      </c>
      <c r="B107" s="534" t="s">
        <v>587</v>
      </c>
      <c r="C107" s="534"/>
      <c r="D107" s="534"/>
      <c r="E107" s="602">
        <v>1</v>
      </c>
      <c r="F107" s="602"/>
      <c r="G107" s="684">
        <f>4000+9500</f>
        <v>13500</v>
      </c>
      <c r="H107" s="684"/>
      <c r="I107" s="603">
        <f>E107*G107</f>
        <v>13500</v>
      </c>
      <c r="J107" s="604"/>
      <c r="K107" s="370"/>
      <c r="L107" s="370"/>
    </row>
    <row r="108" spans="1:13" s="320" customFormat="1" x14ac:dyDescent="0.25">
      <c r="A108" s="291">
        <v>3</v>
      </c>
      <c r="B108" s="534" t="s">
        <v>588</v>
      </c>
      <c r="C108" s="534"/>
      <c r="D108" s="534"/>
      <c r="E108" s="602">
        <v>2</v>
      </c>
      <c r="F108" s="602"/>
      <c r="G108" s="684">
        <v>20000</v>
      </c>
      <c r="H108" s="684"/>
      <c r="I108" s="603">
        <f>E108*G108</f>
        <v>40000</v>
      </c>
      <c r="J108" s="604"/>
      <c r="K108" s="370"/>
      <c r="L108" s="370"/>
    </row>
    <row r="109" spans="1:13" s="320" customFormat="1" x14ac:dyDescent="0.25">
      <c r="A109" s="369"/>
      <c r="B109" s="606" t="s">
        <v>589</v>
      </c>
      <c r="C109" s="606"/>
      <c r="D109" s="606"/>
      <c r="E109" s="606"/>
      <c r="F109" s="606"/>
      <c r="G109" s="606"/>
      <c r="H109" s="606"/>
      <c r="I109" s="607">
        <f>SUM(I110:J112)</f>
        <v>81050</v>
      </c>
      <c r="J109" s="610"/>
      <c r="K109" s="370"/>
      <c r="L109" s="370"/>
    </row>
    <row r="110" spans="1:13" s="320" customFormat="1" x14ac:dyDescent="0.25">
      <c r="A110" s="291">
        <v>1</v>
      </c>
      <c r="B110" s="599" t="s">
        <v>590</v>
      </c>
      <c r="C110" s="600"/>
      <c r="D110" s="601"/>
      <c r="E110" s="670">
        <v>1</v>
      </c>
      <c r="F110" s="671"/>
      <c r="G110" s="672">
        <v>55100</v>
      </c>
      <c r="H110" s="673"/>
      <c r="I110" s="674">
        <f>E110*G110</f>
        <v>55100</v>
      </c>
      <c r="J110" s="675"/>
      <c r="K110" s="370"/>
      <c r="L110" s="370"/>
    </row>
    <row r="111" spans="1:13" s="320" customFormat="1" x14ac:dyDescent="0.25">
      <c r="A111" s="291">
        <v>2</v>
      </c>
      <c r="B111" s="599" t="s">
        <v>591</v>
      </c>
      <c r="C111" s="600"/>
      <c r="D111" s="601"/>
      <c r="E111" s="670">
        <v>1</v>
      </c>
      <c r="F111" s="671"/>
      <c r="G111" s="672">
        <v>6300</v>
      </c>
      <c r="H111" s="673"/>
      <c r="I111" s="674">
        <f>E111*G111</f>
        <v>6300</v>
      </c>
      <c r="J111" s="675"/>
      <c r="K111" s="370"/>
      <c r="L111" s="370"/>
    </row>
    <row r="112" spans="1:13" s="320" customFormat="1" x14ac:dyDescent="0.25">
      <c r="A112" s="291">
        <v>3</v>
      </c>
      <c r="B112" s="599" t="s">
        <v>588</v>
      </c>
      <c r="C112" s="600"/>
      <c r="D112" s="601"/>
      <c r="E112" s="670">
        <v>4</v>
      </c>
      <c r="F112" s="671"/>
      <c r="G112" s="672">
        <v>4912.5</v>
      </c>
      <c r="H112" s="673"/>
      <c r="I112" s="674">
        <f t="shared" ref="I112" si="1">E112*G112</f>
        <v>19650</v>
      </c>
      <c r="J112" s="675"/>
      <c r="K112" s="370"/>
      <c r="L112" s="370"/>
    </row>
    <row r="113" spans="1:13" s="320" customFormat="1" x14ac:dyDescent="0.25">
      <c r="A113" s="369"/>
      <c r="B113" s="606" t="s">
        <v>592</v>
      </c>
      <c r="C113" s="606"/>
      <c r="D113" s="606"/>
      <c r="E113" s="606"/>
      <c r="F113" s="606"/>
      <c r="G113" s="606"/>
      <c r="H113" s="606"/>
      <c r="I113" s="607">
        <f>I114+I115</f>
        <v>20000</v>
      </c>
      <c r="J113" s="608"/>
      <c r="K113" s="370"/>
      <c r="L113" s="370"/>
    </row>
    <row r="114" spans="1:13" s="320" customFormat="1" ht="15" customHeight="1" x14ac:dyDescent="0.25">
      <c r="A114" s="291" t="s">
        <v>70</v>
      </c>
      <c r="B114" s="534" t="s">
        <v>594</v>
      </c>
      <c r="C114" s="534"/>
      <c r="D114" s="534"/>
      <c r="E114" s="482">
        <v>1</v>
      </c>
      <c r="F114" s="483"/>
      <c r="G114" s="605">
        <v>20000</v>
      </c>
      <c r="H114" s="605"/>
      <c r="I114" s="603">
        <v>20000</v>
      </c>
      <c r="J114" s="604"/>
      <c r="K114" s="370"/>
      <c r="L114" s="370"/>
    </row>
    <row r="115" spans="1:13" s="320" customFormat="1" x14ac:dyDescent="0.25">
      <c r="A115" s="291"/>
      <c r="B115" s="534"/>
      <c r="C115" s="534"/>
      <c r="D115" s="534"/>
      <c r="E115" s="482"/>
      <c r="F115" s="483"/>
      <c r="G115" s="605"/>
      <c r="H115" s="605"/>
      <c r="I115" s="603"/>
      <c r="J115" s="604"/>
      <c r="K115" s="370"/>
      <c r="L115" s="370"/>
    </row>
    <row r="116" spans="1:13" s="320" customFormat="1" ht="15.75" x14ac:dyDescent="0.25">
      <c r="A116" s="332"/>
      <c r="B116" s="685" t="s">
        <v>13</v>
      </c>
      <c r="C116" s="685"/>
      <c r="D116" s="685"/>
      <c r="E116" s="576" t="s">
        <v>14</v>
      </c>
      <c r="F116" s="577"/>
      <c r="G116" s="536">
        <f>I105+I109+I113+I103</f>
        <v>232550</v>
      </c>
      <c r="H116" s="537"/>
      <c r="I116" s="537"/>
      <c r="J116" s="537"/>
      <c r="K116" s="384"/>
      <c r="L116" s="384">
        <f>SUM(L102:L103)</f>
        <v>0</v>
      </c>
    </row>
    <row r="117" spans="1:13" ht="15.75" x14ac:dyDescent="0.25">
      <c r="A117" s="569" t="s">
        <v>389</v>
      </c>
      <c r="B117" s="569"/>
      <c r="C117" s="569"/>
      <c r="D117" s="569"/>
      <c r="E117" s="569"/>
      <c r="F117" s="569"/>
      <c r="G117" s="569"/>
      <c r="H117" s="569"/>
      <c r="I117" s="569"/>
      <c r="J117" s="569"/>
      <c r="M117" s="93"/>
    </row>
    <row r="118" spans="1:13" ht="25.5" x14ac:dyDescent="0.25">
      <c r="A118" s="288" t="s">
        <v>1</v>
      </c>
      <c r="B118" s="402" t="s">
        <v>15</v>
      </c>
      <c r="C118" s="402"/>
      <c r="D118" s="402"/>
      <c r="E118" s="490" t="s">
        <v>64</v>
      </c>
      <c r="F118" s="492"/>
      <c r="G118" s="402" t="s">
        <v>65</v>
      </c>
      <c r="H118" s="402"/>
      <c r="I118" s="402"/>
      <c r="J118" s="402"/>
      <c r="M118" s="93"/>
    </row>
    <row r="119" spans="1:13" x14ac:dyDescent="0.25">
      <c r="A119" s="288">
        <v>1</v>
      </c>
      <c r="B119" s="402">
        <v>2</v>
      </c>
      <c r="C119" s="402"/>
      <c r="D119" s="402"/>
      <c r="E119" s="490">
        <v>3</v>
      </c>
      <c r="F119" s="492"/>
      <c r="G119" s="402">
        <v>4</v>
      </c>
      <c r="H119" s="402"/>
      <c r="I119" s="402"/>
      <c r="J119" s="402"/>
      <c r="M119" s="93"/>
    </row>
    <row r="120" spans="1:13" x14ac:dyDescent="0.25">
      <c r="A120" s="298">
        <v>1</v>
      </c>
      <c r="B120" s="661" t="s">
        <v>383</v>
      </c>
      <c r="C120" s="662"/>
      <c r="D120" s="663"/>
      <c r="E120" s="472"/>
      <c r="F120" s="464"/>
      <c r="G120" s="664">
        <f>G122</f>
        <v>0</v>
      </c>
      <c r="H120" s="463"/>
      <c r="I120" s="463"/>
      <c r="J120" s="464"/>
      <c r="M120" s="93"/>
    </row>
    <row r="121" spans="1:13" x14ac:dyDescent="0.25">
      <c r="A121" s="301" t="s">
        <v>70</v>
      </c>
      <c r="B121" s="551"/>
      <c r="C121" s="551"/>
      <c r="D121" s="551"/>
      <c r="E121" s="301"/>
      <c r="F121" s="301"/>
      <c r="G121" s="611"/>
      <c r="H121" s="612"/>
      <c r="I121" s="612"/>
      <c r="J121" s="613"/>
      <c r="M121" s="93"/>
    </row>
    <row r="122" spans="1:13" ht="15.75" x14ac:dyDescent="0.25">
      <c r="A122" s="106"/>
      <c r="B122" s="586" t="s">
        <v>13</v>
      </c>
      <c r="C122" s="586"/>
      <c r="D122" s="586"/>
      <c r="E122" s="172" t="s">
        <v>14</v>
      </c>
      <c r="F122" s="172" t="s">
        <v>14</v>
      </c>
      <c r="G122" s="625">
        <f>SUM(G121:G121)</f>
        <v>0</v>
      </c>
      <c r="H122" s="626"/>
      <c r="I122" s="626"/>
      <c r="J122" s="626"/>
      <c r="M122" s="93"/>
    </row>
    <row r="123" spans="1:13" s="121" customFormat="1" ht="15.75" x14ac:dyDescent="0.25">
      <c r="A123" s="433" t="s">
        <v>387</v>
      </c>
      <c r="B123" s="433"/>
      <c r="C123" s="433"/>
      <c r="D123" s="433"/>
      <c r="E123" s="433"/>
      <c r="F123" s="433"/>
      <c r="G123" s="433"/>
      <c r="H123" s="433"/>
      <c r="I123" s="433"/>
      <c r="J123" s="433"/>
    </row>
    <row r="124" spans="1:13" s="121" customFormat="1" ht="25.5" x14ac:dyDescent="0.25">
      <c r="A124" s="288" t="s">
        <v>1</v>
      </c>
      <c r="B124" s="402" t="s">
        <v>15</v>
      </c>
      <c r="C124" s="402"/>
      <c r="D124" s="402"/>
      <c r="E124" s="402" t="s">
        <v>58</v>
      </c>
      <c r="F124" s="402"/>
      <c r="G124" s="402" t="s">
        <v>66</v>
      </c>
      <c r="H124" s="402"/>
      <c r="I124" s="490" t="s">
        <v>264</v>
      </c>
      <c r="J124" s="492"/>
    </row>
    <row r="125" spans="1:13" s="121" customFormat="1" x14ac:dyDescent="0.25">
      <c r="A125" s="288">
        <v>1</v>
      </c>
      <c r="B125" s="402">
        <v>2</v>
      </c>
      <c r="C125" s="402"/>
      <c r="D125" s="402"/>
      <c r="E125" s="402">
        <v>3</v>
      </c>
      <c r="F125" s="402"/>
      <c r="G125" s="402">
        <v>4</v>
      </c>
      <c r="H125" s="402"/>
      <c r="I125" s="402">
        <v>5</v>
      </c>
      <c r="J125" s="402"/>
    </row>
    <row r="126" spans="1:13" s="119" customFormat="1" x14ac:dyDescent="0.25">
      <c r="A126" s="298">
        <v>1</v>
      </c>
      <c r="B126" s="661" t="s">
        <v>384</v>
      </c>
      <c r="C126" s="662"/>
      <c r="D126" s="663"/>
      <c r="E126" s="123"/>
      <c r="F126" s="122"/>
      <c r="G126" s="522"/>
      <c r="H126" s="522"/>
      <c r="I126" s="563">
        <f>I134</f>
        <v>49150</v>
      </c>
      <c r="J126" s="564"/>
    </row>
    <row r="127" spans="1:13" s="320" customFormat="1" x14ac:dyDescent="0.25">
      <c r="A127" s="369"/>
      <c r="B127" s="609" t="s">
        <v>583</v>
      </c>
      <c r="C127" s="606"/>
      <c r="D127" s="606"/>
      <c r="E127" s="606"/>
      <c r="F127" s="606"/>
      <c r="G127" s="606"/>
      <c r="H127" s="608"/>
      <c r="I127" s="607">
        <f>I128</f>
        <v>4000</v>
      </c>
      <c r="J127" s="610"/>
      <c r="K127" s="368"/>
    </row>
    <row r="128" spans="1:13" s="320" customFormat="1" x14ac:dyDescent="0.25">
      <c r="A128" s="291">
        <v>1</v>
      </c>
      <c r="B128" s="599" t="s">
        <v>596</v>
      </c>
      <c r="C128" s="600"/>
      <c r="D128" s="601"/>
      <c r="E128" s="670">
        <v>1</v>
      </c>
      <c r="F128" s="671"/>
      <c r="G128" s="672">
        <v>4000</v>
      </c>
      <c r="H128" s="673"/>
      <c r="I128" s="674">
        <f>E128*G128</f>
        <v>4000</v>
      </c>
      <c r="J128" s="675"/>
      <c r="K128" s="368"/>
    </row>
    <row r="129" spans="1:13" s="320" customFormat="1" x14ac:dyDescent="0.25">
      <c r="A129" s="369"/>
      <c r="B129" s="609" t="s">
        <v>597</v>
      </c>
      <c r="C129" s="606"/>
      <c r="D129" s="606"/>
      <c r="E129" s="606"/>
      <c r="F129" s="606"/>
      <c r="G129" s="606"/>
      <c r="H129" s="608"/>
      <c r="I129" s="607">
        <f>SUM(I130:J130)</f>
        <v>13000</v>
      </c>
      <c r="J129" s="610"/>
      <c r="K129" s="368"/>
    </row>
    <row r="130" spans="1:13" s="320" customFormat="1" x14ac:dyDescent="0.25">
      <c r="A130" s="291">
        <v>1</v>
      </c>
      <c r="B130" s="599" t="s">
        <v>598</v>
      </c>
      <c r="C130" s="600"/>
      <c r="D130" s="601"/>
      <c r="E130" s="670">
        <v>1</v>
      </c>
      <c r="F130" s="671"/>
      <c r="G130" s="672">
        <v>13000</v>
      </c>
      <c r="H130" s="673"/>
      <c r="I130" s="674">
        <f>G130</f>
        <v>13000</v>
      </c>
      <c r="J130" s="675"/>
      <c r="K130" s="368"/>
    </row>
    <row r="131" spans="1:13" s="320" customFormat="1" x14ac:dyDescent="0.25">
      <c r="A131" s="369"/>
      <c r="B131" s="609" t="s">
        <v>589</v>
      </c>
      <c r="C131" s="606"/>
      <c r="D131" s="606"/>
      <c r="E131" s="606"/>
      <c r="F131" s="606"/>
      <c r="G131" s="606"/>
      <c r="H131" s="608"/>
      <c r="I131" s="607">
        <f>SUM(I132:J133)</f>
        <v>32150</v>
      </c>
      <c r="J131" s="610"/>
      <c r="K131" s="368"/>
    </row>
    <row r="132" spans="1:13" s="320" customFormat="1" x14ac:dyDescent="0.25">
      <c r="A132" s="291">
        <v>1</v>
      </c>
      <c r="B132" s="599" t="s">
        <v>596</v>
      </c>
      <c r="C132" s="600"/>
      <c r="D132" s="601"/>
      <c r="E132" s="670">
        <v>1</v>
      </c>
      <c r="F132" s="671"/>
      <c r="G132" s="672">
        <v>12150</v>
      </c>
      <c r="H132" s="673"/>
      <c r="I132" s="674">
        <f>G132</f>
        <v>12150</v>
      </c>
      <c r="J132" s="675"/>
      <c r="K132" s="368"/>
    </row>
    <row r="133" spans="1:13" s="320" customFormat="1" x14ac:dyDescent="0.25">
      <c r="A133" s="291">
        <v>2</v>
      </c>
      <c r="B133" s="599" t="s">
        <v>599</v>
      </c>
      <c r="C133" s="600"/>
      <c r="D133" s="601"/>
      <c r="E133" s="670">
        <v>1</v>
      </c>
      <c r="F133" s="671"/>
      <c r="G133" s="672">
        <v>20000</v>
      </c>
      <c r="H133" s="673"/>
      <c r="I133" s="674">
        <f>G133</f>
        <v>20000</v>
      </c>
      <c r="J133" s="675"/>
      <c r="K133" s="368"/>
    </row>
    <row r="134" spans="1:13" s="320" customFormat="1" x14ac:dyDescent="0.25">
      <c r="A134" s="291"/>
      <c r="B134" s="535" t="s">
        <v>13</v>
      </c>
      <c r="C134" s="535"/>
      <c r="D134" s="535"/>
      <c r="E134" s="686"/>
      <c r="F134" s="686"/>
      <c r="G134" s="418" t="s">
        <v>14</v>
      </c>
      <c r="H134" s="418"/>
      <c r="I134" s="477">
        <f>I127+I129+I131</f>
        <v>49150</v>
      </c>
      <c r="J134" s="478"/>
    </row>
    <row r="135" spans="1:13" ht="15.75" x14ac:dyDescent="0.25">
      <c r="A135" s="489" t="s">
        <v>388</v>
      </c>
      <c r="B135" s="489"/>
      <c r="C135" s="489"/>
      <c r="D135" s="489"/>
      <c r="E135" s="489"/>
      <c r="F135" s="489"/>
      <c r="G135" s="489"/>
      <c r="H135" s="489"/>
      <c r="I135" s="489"/>
      <c r="J135" s="489"/>
      <c r="M135" s="93"/>
    </row>
    <row r="136" spans="1:13" ht="15.75" x14ac:dyDescent="0.25">
      <c r="A136" s="669" t="s">
        <v>369</v>
      </c>
      <c r="B136" s="669"/>
      <c r="C136" s="669"/>
      <c r="D136" s="669"/>
      <c r="E136" s="669"/>
      <c r="F136" s="669"/>
      <c r="G136" s="669"/>
      <c r="H136" s="669"/>
      <c r="I136" s="669"/>
      <c r="J136" s="669"/>
      <c r="M136" s="93"/>
    </row>
    <row r="137" spans="1:13" ht="25.5" x14ac:dyDescent="0.25">
      <c r="A137" s="288" t="s">
        <v>1</v>
      </c>
      <c r="B137" s="402" t="s">
        <v>15</v>
      </c>
      <c r="C137" s="402"/>
      <c r="D137" s="402"/>
      <c r="E137" s="402" t="s">
        <v>58</v>
      </c>
      <c r="F137" s="402"/>
      <c r="G137" s="402" t="s">
        <v>66</v>
      </c>
      <c r="H137" s="402"/>
      <c r="I137" s="490" t="s">
        <v>264</v>
      </c>
      <c r="J137" s="492"/>
      <c r="M137" s="93"/>
    </row>
    <row r="138" spans="1:13" x14ac:dyDescent="0.25">
      <c r="A138" s="288">
        <v>1</v>
      </c>
      <c r="B138" s="402">
        <v>2</v>
      </c>
      <c r="C138" s="402"/>
      <c r="D138" s="402"/>
      <c r="E138" s="402">
        <v>3</v>
      </c>
      <c r="F138" s="402"/>
      <c r="G138" s="402">
        <v>4</v>
      </c>
      <c r="H138" s="402"/>
      <c r="I138" s="402">
        <v>5</v>
      </c>
      <c r="J138" s="402"/>
      <c r="K138" s="208"/>
      <c r="L138" s="385"/>
      <c r="M138" s="93"/>
    </row>
    <row r="139" spans="1:13" s="320" customFormat="1" x14ac:dyDescent="0.25">
      <c r="A139" s="369"/>
      <c r="B139" s="609" t="s">
        <v>583</v>
      </c>
      <c r="C139" s="606"/>
      <c r="D139" s="606"/>
      <c r="E139" s="606"/>
      <c r="F139" s="606"/>
      <c r="G139" s="606"/>
      <c r="H139" s="608"/>
      <c r="I139" s="607">
        <f>I140</f>
        <v>23000</v>
      </c>
      <c r="J139" s="610"/>
      <c r="K139" s="368"/>
    </row>
    <row r="140" spans="1:13" x14ac:dyDescent="0.25">
      <c r="A140" s="301">
        <v>1</v>
      </c>
      <c r="B140" s="455" t="s">
        <v>650</v>
      </c>
      <c r="C140" s="456"/>
      <c r="D140" s="457"/>
      <c r="E140" s="680">
        <v>100</v>
      </c>
      <c r="F140" s="681"/>
      <c r="G140" s="552">
        <v>230</v>
      </c>
      <c r="H140" s="552"/>
      <c r="I140" s="678">
        <f>E140*G140</f>
        <v>23000</v>
      </c>
      <c r="J140" s="545"/>
      <c r="M140" s="93"/>
    </row>
    <row r="141" spans="1:13" s="320" customFormat="1" x14ac:dyDescent="0.25">
      <c r="A141" s="369"/>
      <c r="B141" s="606" t="s">
        <v>585</v>
      </c>
      <c r="C141" s="606"/>
      <c r="D141" s="606"/>
      <c r="E141" s="606"/>
      <c r="F141" s="606"/>
      <c r="G141" s="606"/>
      <c r="H141" s="606"/>
      <c r="I141" s="607">
        <f>I142</f>
        <v>12000</v>
      </c>
      <c r="J141" s="608"/>
      <c r="K141" s="370"/>
      <c r="L141" s="370"/>
    </row>
    <row r="142" spans="1:13" x14ac:dyDescent="0.25">
      <c r="A142" s="301">
        <v>2</v>
      </c>
      <c r="B142" s="455" t="s">
        <v>651</v>
      </c>
      <c r="C142" s="456"/>
      <c r="D142" s="457"/>
      <c r="E142" s="680">
        <v>20</v>
      </c>
      <c r="F142" s="681"/>
      <c r="G142" s="517">
        <v>600</v>
      </c>
      <c r="H142" s="518"/>
      <c r="I142" s="682">
        <f>E142*G142</f>
        <v>12000</v>
      </c>
      <c r="J142" s="683"/>
      <c r="M142" s="93"/>
    </row>
    <row r="143" spans="1:13" x14ac:dyDescent="0.25">
      <c r="A143" s="301"/>
      <c r="B143" s="507" t="s">
        <v>13</v>
      </c>
      <c r="C143" s="507"/>
      <c r="D143" s="507"/>
      <c r="E143" s="590"/>
      <c r="F143" s="590"/>
      <c r="G143" s="508" t="s">
        <v>14</v>
      </c>
      <c r="H143" s="508"/>
      <c r="I143" s="677">
        <f>I139+I141</f>
        <v>35000</v>
      </c>
      <c r="J143" s="677"/>
      <c r="M143" s="93"/>
    </row>
    <row r="144" spans="1:13" ht="15.75" x14ac:dyDescent="0.25">
      <c r="A144" s="669" t="s">
        <v>365</v>
      </c>
      <c r="B144" s="669"/>
      <c r="C144" s="669"/>
      <c r="D144" s="669"/>
      <c r="E144" s="669"/>
      <c r="F144" s="669"/>
      <c r="G144" s="669"/>
      <c r="H144" s="669"/>
      <c r="I144" s="669"/>
      <c r="J144" s="669"/>
      <c r="M144" s="93"/>
    </row>
    <row r="145" spans="1:13" ht="25.5" x14ac:dyDescent="0.25">
      <c r="A145" s="288" t="s">
        <v>1</v>
      </c>
      <c r="B145" s="402" t="s">
        <v>15</v>
      </c>
      <c r="C145" s="402"/>
      <c r="D145" s="402"/>
      <c r="E145" s="402" t="s">
        <v>58</v>
      </c>
      <c r="F145" s="402"/>
      <c r="G145" s="402" t="s">
        <v>66</v>
      </c>
      <c r="H145" s="402"/>
      <c r="I145" s="490" t="s">
        <v>264</v>
      </c>
      <c r="J145" s="492"/>
      <c r="M145" s="93"/>
    </row>
    <row r="146" spans="1:13" x14ac:dyDescent="0.25">
      <c r="A146" s="288">
        <v>1</v>
      </c>
      <c r="B146" s="402">
        <v>2</v>
      </c>
      <c r="C146" s="402"/>
      <c r="D146" s="402"/>
      <c r="E146" s="402">
        <v>3</v>
      </c>
      <c r="F146" s="402"/>
      <c r="G146" s="402">
        <v>4</v>
      </c>
      <c r="H146" s="402"/>
      <c r="I146" s="402">
        <v>5</v>
      </c>
      <c r="J146" s="402"/>
      <c r="M146" s="93"/>
    </row>
    <row r="147" spans="1:13" s="320" customFormat="1" x14ac:dyDescent="0.25">
      <c r="A147" s="369"/>
      <c r="B147" s="609" t="s">
        <v>583</v>
      </c>
      <c r="C147" s="606"/>
      <c r="D147" s="606"/>
      <c r="E147" s="606"/>
      <c r="F147" s="606"/>
      <c r="G147" s="606"/>
      <c r="H147" s="608"/>
      <c r="I147" s="607">
        <f>I148+I149+I150+I151+I152+I153+I154+I155+I156+I157+I158</f>
        <v>31310</v>
      </c>
      <c r="J147" s="610"/>
      <c r="K147" s="368"/>
    </row>
    <row r="148" spans="1:13" s="320" customFormat="1" x14ac:dyDescent="0.25">
      <c r="A148" s="291">
        <v>1</v>
      </c>
      <c r="B148" s="534" t="s">
        <v>653</v>
      </c>
      <c r="C148" s="534"/>
      <c r="D148" s="534"/>
      <c r="E148" s="602">
        <v>100</v>
      </c>
      <c r="F148" s="602"/>
      <c r="G148" s="417">
        <v>15</v>
      </c>
      <c r="H148" s="417"/>
      <c r="I148" s="603">
        <f t="shared" ref="I148:I158" si="2">E148*G148</f>
        <v>1500</v>
      </c>
      <c r="J148" s="604"/>
      <c r="K148" s="368"/>
    </row>
    <row r="149" spans="1:13" s="320" customFormat="1" x14ac:dyDescent="0.25">
      <c r="A149" s="291">
        <v>2</v>
      </c>
      <c r="B149" s="534" t="s">
        <v>654</v>
      </c>
      <c r="C149" s="534"/>
      <c r="D149" s="534"/>
      <c r="E149" s="602">
        <v>1</v>
      </c>
      <c r="F149" s="602"/>
      <c r="G149" s="417">
        <v>1400</v>
      </c>
      <c r="H149" s="417"/>
      <c r="I149" s="603">
        <f t="shared" si="2"/>
        <v>1400</v>
      </c>
      <c r="J149" s="604"/>
      <c r="K149" s="368"/>
    </row>
    <row r="150" spans="1:13" s="320" customFormat="1" x14ac:dyDescent="0.25">
      <c r="A150" s="291">
        <v>3</v>
      </c>
      <c r="B150" s="534" t="s">
        <v>655</v>
      </c>
      <c r="C150" s="534"/>
      <c r="D150" s="534"/>
      <c r="E150" s="602">
        <v>4</v>
      </c>
      <c r="F150" s="602"/>
      <c r="G150" s="417">
        <v>450</v>
      </c>
      <c r="H150" s="417"/>
      <c r="I150" s="603">
        <f t="shared" si="2"/>
        <v>1800</v>
      </c>
      <c r="J150" s="604"/>
      <c r="K150" s="368"/>
    </row>
    <row r="151" spans="1:13" s="320" customFormat="1" x14ac:dyDescent="0.25">
      <c r="A151" s="291">
        <v>4</v>
      </c>
      <c r="B151" s="534" t="s">
        <v>656</v>
      </c>
      <c r="C151" s="534"/>
      <c r="D151" s="534"/>
      <c r="E151" s="602">
        <v>100</v>
      </c>
      <c r="F151" s="602"/>
      <c r="G151" s="417">
        <v>45</v>
      </c>
      <c r="H151" s="417"/>
      <c r="I151" s="603">
        <f t="shared" si="2"/>
        <v>4500</v>
      </c>
      <c r="J151" s="604"/>
      <c r="K151" s="368"/>
    </row>
    <row r="152" spans="1:13" s="320" customFormat="1" x14ac:dyDescent="0.25">
      <c r="A152" s="291">
        <v>5</v>
      </c>
      <c r="B152" s="534" t="s">
        <v>657</v>
      </c>
      <c r="C152" s="534"/>
      <c r="D152" s="534"/>
      <c r="E152" s="602">
        <v>100</v>
      </c>
      <c r="F152" s="602"/>
      <c r="G152" s="417">
        <v>42</v>
      </c>
      <c r="H152" s="417"/>
      <c r="I152" s="603">
        <f t="shared" si="2"/>
        <v>4200</v>
      </c>
      <c r="J152" s="604"/>
      <c r="K152" s="368"/>
    </row>
    <row r="153" spans="1:13" s="320" customFormat="1" x14ac:dyDescent="0.25">
      <c r="A153" s="291">
        <v>6</v>
      </c>
      <c r="B153" s="534" t="s">
        <v>662</v>
      </c>
      <c r="C153" s="534"/>
      <c r="D153" s="534"/>
      <c r="E153" s="602">
        <v>1</v>
      </c>
      <c r="F153" s="602"/>
      <c r="G153" s="417">
        <v>930</v>
      </c>
      <c r="H153" s="417"/>
      <c r="I153" s="603">
        <f t="shared" si="2"/>
        <v>930</v>
      </c>
      <c r="J153" s="604"/>
      <c r="K153" s="368"/>
    </row>
    <row r="154" spans="1:13" s="320" customFormat="1" x14ac:dyDescent="0.25">
      <c r="A154" s="291">
        <v>7</v>
      </c>
      <c r="B154" s="534" t="s">
        <v>663</v>
      </c>
      <c r="C154" s="534"/>
      <c r="D154" s="534"/>
      <c r="E154" s="602">
        <v>1</v>
      </c>
      <c r="F154" s="602"/>
      <c r="G154" s="417">
        <v>280</v>
      </c>
      <c r="H154" s="417"/>
      <c r="I154" s="603">
        <f t="shared" si="2"/>
        <v>280</v>
      </c>
      <c r="J154" s="604"/>
      <c r="K154" s="368"/>
    </row>
    <row r="155" spans="1:13" s="320" customFormat="1" x14ac:dyDescent="0.25">
      <c r="A155" s="291">
        <v>8</v>
      </c>
      <c r="B155" s="534" t="s">
        <v>664</v>
      </c>
      <c r="C155" s="534"/>
      <c r="D155" s="534"/>
      <c r="E155" s="602">
        <v>10</v>
      </c>
      <c r="F155" s="602"/>
      <c r="G155" s="417">
        <v>30</v>
      </c>
      <c r="H155" s="417"/>
      <c r="I155" s="603">
        <f t="shared" si="2"/>
        <v>300</v>
      </c>
      <c r="J155" s="604"/>
      <c r="K155" s="368"/>
    </row>
    <row r="156" spans="1:13" s="320" customFormat="1" x14ac:dyDescent="0.25">
      <c r="A156" s="291">
        <v>9</v>
      </c>
      <c r="B156" s="534" t="s">
        <v>665</v>
      </c>
      <c r="C156" s="534"/>
      <c r="D156" s="534"/>
      <c r="E156" s="602">
        <v>10</v>
      </c>
      <c r="F156" s="602"/>
      <c r="G156" s="417">
        <v>60</v>
      </c>
      <c r="H156" s="417"/>
      <c r="I156" s="603">
        <f t="shared" si="2"/>
        <v>600</v>
      </c>
      <c r="J156" s="604"/>
      <c r="K156" s="368"/>
    </row>
    <row r="157" spans="1:13" s="320" customFormat="1" x14ac:dyDescent="0.25">
      <c r="A157" s="291">
        <v>10</v>
      </c>
      <c r="B157" s="534" t="s">
        <v>666</v>
      </c>
      <c r="C157" s="534"/>
      <c r="D157" s="534"/>
      <c r="E157" s="602">
        <v>1</v>
      </c>
      <c r="F157" s="602"/>
      <c r="G157" s="417">
        <v>600</v>
      </c>
      <c r="H157" s="417"/>
      <c r="I157" s="603">
        <f t="shared" si="2"/>
        <v>600</v>
      </c>
      <c r="J157" s="604"/>
      <c r="K157" s="368"/>
    </row>
    <row r="158" spans="1:13" s="320" customFormat="1" x14ac:dyDescent="0.25">
      <c r="A158" s="291">
        <v>11</v>
      </c>
      <c r="B158" s="534" t="s">
        <v>667</v>
      </c>
      <c r="C158" s="534"/>
      <c r="D158" s="534"/>
      <c r="E158" s="602">
        <v>2</v>
      </c>
      <c r="F158" s="602"/>
      <c r="G158" s="417">
        <v>7600</v>
      </c>
      <c r="H158" s="417"/>
      <c r="I158" s="603">
        <f t="shared" si="2"/>
        <v>15200</v>
      </c>
      <c r="J158" s="604"/>
      <c r="K158" s="368"/>
    </row>
    <row r="159" spans="1:13" s="320" customFormat="1" x14ac:dyDescent="0.25">
      <c r="A159" s="369"/>
      <c r="B159" s="606" t="s">
        <v>589</v>
      </c>
      <c r="C159" s="606"/>
      <c r="D159" s="606"/>
      <c r="E159" s="606"/>
      <c r="F159" s="606"/>
      <c r="G159" s="606"/>
      <c r="H159" s="606"/>
      <c r="I159" s="607">
        <f>I160+I161+I162+I163+I164+I165+I166+I167+I168+I169+I170</f>
        <v>40700</v>
      </c>
      <c r="J159" s="608"/>
      <c r="K159" s="370"/>
      <c r="L159" s="370"/>
    </row>
    <row r="160" spans="1:13" s="320" customFormat="1" x14ac:dyDescent="0.25">
      <c r="A160" s="291">
        <v>1</v>
      </c>
      <c r="B160" s="534" t="s">
        <v>657</v>
      </c>
      <c r="C160" s="534"/>
      <c r="D160" s="534"/>
      <c r="E160" s="602">
        <v>150</v>
      </c>
      <c r="F160" s="602"/>
      <c r="G160" s="417">
        <v>43</v>
      </c>
      <c r="H160" s="417"/>
      <c r="I160" s="603">
        <f t="shared" ref="I160:I170" si="3">E160*G160</f>
        <v>6450</v>
      </c>
      <c r="J160" s="604"/>
      <c r="K160" s="368"/>
    </row>
    <row r="161" spans="1:13" s="320" customFormat="1" x14ac:dyDescent="0.25">
      <c r="A161" s="291">
        <v>2</v>
      </c>
      <c r="B161" s="534" t="s">
        <v>671</v>
      </c>
      <c r="C161" s="534"/>
      <c r="D161" s="534"/>
      <c r="E161" s="602">
        <v>6</v>
      </c>
      <c r="F161" s="602"/>
      <c r="G161" s="417">
        <v>450</v>
      </c>
      <c r="H161" s="417"/>
      <c r="I161" s="603">
        <f t="shared" si="3"/>
        <v>2700</v>
      </c>
      <c r="J161" s="604"/>
      <c r="K161" s="368"/>
    </row>
    <row r="162" spans="1:13" s="320" customFormat="1" x14ac:dyDescent="0.25">
      <c r="A162" s="291">
        <v>3</v>
      </c>
      <c r="B162" s="534" t="s">
        <v>662</v>
      </c>
      <c r="C162" s="534"/>
      <c r="D162" s="534"/>
      <c r="E162" s="602">
        <v>4</v>
      </c>
      <c r="F162" s="602"/>
      <c r="G162" s="417">
        <v>950</v>
      </c>
      <c r="H162" s="417"/>
      <c r="I162" s="603">
        <f t="shared" si="3"/>
        <v>3800</v>
      </c>
      <c r="J162" s="604"/>
      <c r="K162" s="368"/>
    </row>
    <row r="163" spans="1:13" s="320" customFormat="1" x14ac:dyDescent="0.25">
      <c r="A163" s="291">
        <v>4</v>
      </c>
      <c r="B163" s="534" t="s">
        <v>672</v>
      </c>
      <c r="C163" s="534"/>
      <c r="D163" s="534"/>
      <c r="E163" s="602">
        <v>2</v>
      </c>
      <c r="F163" s="602"/>
      <c r="G163" s="417">
        <v>660</v>
      </c>
      <c r="H163" s="417"/>
      <c r="I163" s="603">
        <f t="shared" si="3"/>
        <v>1320</v>
      </c>
      <c r="J163" s="604"/>
      <c r="K163" s="368"/>
    </row>
    <row r="164" spans="1:13" s="320" customFormat="1" x14ac:dyDescent="0.25">
      <c r="A164" s="291">
        <v>5</v>
      </c>
      <c r="B164" s="534" t="s">
        <v>663</v>
      </c>
      <c r="C164" s="534"/>
      <c r="D164" s="534"/>
      <c r="E164" s="602">
        <v>10</v>
      </c>
      <c r="F164" s="602"/>
      <c r="G164" s="417">
        <v>350</v>
      </c>
      <c r="H164" s="417"/>
      <c r="I164" s="603">
        <f t="shared" si="3"/>
        <v>3500</v>
      </c>
      <c r="J164" s="604"/>
      <c r="K164" s="368"/>
    </row>
    <row r="165" spans="1:13" s="320" customFormat="1" x14ac:dyDescent="0.25">
      <c r="A165" s="291">
        <v>6</v>
      </c>
      <c r="B165" s="534" t="s">
        <v>654</v>
      </c>
      <c r="C165" s="534"/>
      <c r="D165" s="534"/>
      <c r="E165" s="602">
        <v>2</v>
      </c>
      <c r="F165" s="602"/>
      <c r="G165" s="417">
        <v>1400</v>
      </c>
      <c r="H165" s="417"/>
      <c r="I165" s="603">
        <f t="shared" si="3"/>
        <v>2800</v>
      </c>
      <c r="J165" s="604"/>
      <c r="K165" s="368"/>
    </row>
    <row r="166" spans="1:13" s="320" customFormat="1" x14ac:dyDescent="0.25">
      <c r="A166" s="291">
        <v>7</v>
      </c>
      <c r="B166" s="534" t="s">
        <v>673</v>
      </c>
      <c r="C166" s="534"/>
      <c r="D166" s="534"/>
      <c r="E166" s="602">
        <v>4</v>
      </c>
      <c r="F166" s="602"/>
      <c r="G166" s="417">
        <v>670</v>
      </c>
      <c r="H166" s="417"/>
      <c r="I166" s="603">
        <f t="shared" si="3"/>
        <v>2680</v>
      </c>
      <c r="J166" s="604"/>
      <c r="K166" s="368"/>
    </row>
    <row r="167" spans="1:13" s="320" customFormat="1" x14ac:dyDescent="0.25">
      <c r="A167" s="291">
        <v>8</v>
      </c>
      <c r="B167" s="534" t="s">
        <v>655</v>
      </c>
      <c r="C167" s="534"/>
      <c r="D167" s="534"/>
      <c r="E167" s="602">
        <v>4</v>
      </c>
      <c r="F167" s="602"/>
      <c r="G167" s="417">
        <v>350</v>
      </c>
      <c r="H167" s="417"/>
      <c r="I167" s="603">
        <f t="shared" si="3"/>
        <v>1400</v>
      </c>
      <c r="J167" s="604"/>
      <c r="K167" s="368"/>
    </row>
    <row r="168" spans="1:13" s="320" customFormat="1" x14ac:dyDescent="0.25">
      <c r="A168" s="291">
        <v>9</v>
      </c>
      <c r="B168" s="534" t="s">
        <v>674</v>
      </c>
      <c r="C168" s="534"/>
      <c r="D168" s="534"/>
      <c r="E168" s="602">
        <v>1600</v>
      </c>
      <c r="F168" s="602"/>
      <c r="G168" s="417">
        <v>4.5</v>
      </c>
      <c r="H168" s="417"/>
      <c r="I168" s="603">
        <f t="shared" si="3"/>
        <v>7200</v>
      </c>
      <c r="J168" s="604"/>
      <c r="K168" s="368"/>
    </row>
    <row r="169" spans="1:13" s="320" customFormat="1" x14ac:dyDescent="0.25">
      <c r="A169" s="291">
        <v>10</v>
      </c>
      <c r="B169" s="534" t="s">
        <v>675</v>
      </c>
      <c r="C169" s="534"/>
      <c r="D169" s="534"/>
      <c r="E169" s="602">
        <v>1600</v>
      </c>
      <c r="F169" s="602"/>
      <c r="G169" s="417">
        <v>4.5</v>
      </c>
      <c r="H169" s="417"/>
      <c r="I169" s="603">
        <f t="shared" si="3"/>
        <v>7200</v>
      </c>
      <c r="J169" s="604"/>
      <c r="K169" s="368"/>
    </row>
    <row r="170" spans="1:13" s="320" customFormat="1" x14ac:dyDescent="0.25">
      <c r="A170" s="291">
        <v>11</v>
      </c>
      <c r="B170" s="534" t="s">
        <v>676</v>
      </c>
      <c r="C170" s="534"/>
      <c r="D170" s="534"/>
      <c r="E170" s="602">
        <v>300</v>
      </c>
      <c r="F170" s="602"/>
      <c r="G170" s="417">
        <v>5.5</v>
      </c>
      <c r="H170" s="417"/>
      <c r="I170" s="603">
        <f t="shared" si="3"/>
        <v>1650</v>
      </c>
      <c r="J170" s="604"/>
      <c r="K170" s="368"/>
    </row>
    <row r="171" spans="1:13" x14ac:dyDescent="0.25">
      <c r="A171" s="301"/>
      <c r="B171" s="507" t="s">
        <v>13</v>
      </c>
      <c r="C171" s="507"/>
      <c r="D171" s="507"/>
      <c r="E171" s="590"/>
      <c r="F171" s="590"/>
      <c r="G171" s="508" t="s">
        <v>14</v>
      </c>
      <c r="H171" s="508"/>
      <c r="I171" s="677">
        <f>I147+I159</f>
        <v>72010</v>
      </c>
      <c r="J171" s="677"/>
      <c r="M171" s="93"/>
    </row>
    <row r="172" spans="1:13" ht="15.75" x14ac:dyDescent="0.25">
      <c r="A172" s="669" t="s">
        <v>649</v>
      </c>
      <c r="B172" s="669"/>
      <c r="C172" s="669"/>
      <c r="D172" s="669"/>
      <c r="E172" s="669"/>
      <c r="F172" s="669"/>
      <c r="G172" s="669"/>
      <c r="H172" s="669"/>
      <c r="I172" s="669"/>
      <c r="J172" s="669"/>
      <c r="M172" s="93"/>
    </row>
    <row r="173" spans="1:13" s="121" customFormat="1" ht="25.5" x14ac:dyDescent="0.25">
      <c r="A173" s="288" t="s">
        <v>1</v>
      </c>
      <c r="B173" s="402" t="s">
        <v>15</v>
      </c>
      <c r="C173" s="402"/>
      <c r="D173" s="402"/>
      <c r="E173" s="402" t="s">
        <v>58</v>
      </c>
      <c r="F173" s="402"/>
      <c r="G173" s="402" t="s">
        <v>66</v>
      </c>
      <c r="H173" s="402"/>
      <c r="I173" s="490" t="s">
        <v>264</v>
      </c>
      <c r="J173" s="492"/>
    </row>
    <row r="174" spans="1:13" x14ac:dyDescent="0.25">
      <c r="A174" s="288">
        <v>1</v>
      </c>
      <c r="B174" s="402">
        <v>2</v>
      </c>
      <c r="C174" s="402"/>
      <c r="D174" s="402"/>
      <c r="E174" s="402">
        <v>3</v>
      </c>
      <c r="F174" s="402"/>
      <c r="G174" s="402">
        <v>4</v>
      </c>
      <c r="H174" s="402"/>
      <c r="I174" s="402">
        <v>5</v>
      </c>
      <c r="J174" s="402"/>
      <c r="M174" s="93"/>
    </row>
    <row r="175" spans="1:13" s="320" customFormat="1" x14ac:dyDescent="0.25">
      <c r="A175" s="369"/>
      <c r="B175" s="609" t="s">
        <v>583</v>
      </c>
      <c r="C175" s="606"/>
      <c r="D175" s="606"/>
      <c r="E175" s="606"/>
      <c r="F175" s="606"/>
      <c r="G175" s="606"/>
      <c r="H175" s="608"/>
      <c r="I175" s="607">
        <f>I176+I177+I178+I179+I180+I181+I182+I183</f>
        <v>43450</v>
      </c>
      <c r="J175" s="610"/>
      <c r="K175" s="368"/>
    </row>
    <row r="176" spans="1:13" s="320" customFormat="1" x14ac:dyDescent="0.25">
      <c r="A176" s="291">
        <v>1</v>
      </c>
      <c r="B176" s="534" t="s">
        <v>658</v>
      </c>
      <c r="C176" s="534"/>
      <c r="D176" s="534"/>
      <c r="E176" s="602">
        <v>30</v>
      </c>
      <c r="F176" s="602"/>
      <c r="G176" s="417">
        <v>120</v>
      </c>
      <c r="H176" s="417"/>
      <c r="I176" s="603">
        <f t="shared" ref="I176:I183" si="4">E176*G176</f>
        <v>3600</v>
      </c>
      <c r="J176" s="604"/>
      <c r="K176" s="368"/>
    </row>
    <row r="177" spans="1:12" s="320" customFormat="1" x14ac:dyDescent="0.25">
      <c r="A177" s="291">
        <v>2</v>
      </c>
      <c r="B177" s="534" t="s">
        <v>659</v>
      </c>
      <c r="C177" s="534"/>
      <c r="D177" s="534"/>
      <c r="E177" s="602">
        <v>10</v>
      </c>
      <c r="F177" s="602"/>
      <c r="G177" s="417">
        <v>150</v>
      </c>
      <c r="H177" s="417"/>
      <c r="I177" s="603">
        <f t="shared" si="4"/>
        <v>1500</v>
      </c>
      <c r="J177" s="604"/>
      <c r="K177" s="368"/>
    </row>
    <row r="178" spans="1:12" s="320" customFormat="1" x14ac:dyDescent="0.25">
      <c r="A178" s="291">
        <v>3</v>
      </c>
      <c r="B178" s="534" t="s">
        <v>660</v>
      </c>
      <c r="C178" s="534"/>
      <c r="D178" s="534"/>
      <c r="E178" s="602">
        <v>10</v>
      </c>
      <c r="F178" s="602"/>
      <c r="G178" s="417">
        <v>100</v>
      </c>
      <c r="H178" s="417"/>
      <c r="I178" s="603">
        <f t="shared" si="4"/>
        <v>1000</v>
      </c>
      <c r="J178" s="604"/>
      <c r="K178" s="368"/>
    </row>
    <row r="179" spans="1:12" s="320" customFormat="1" x14ac:dyDescent="0.25">
      <c r="A179" s="291">
        <v>4</v>
      </c>
      <c r="B179" s="534" t="s">
        <v>661</v>
      </c>
      <c r="C179" s="534"/>
      <c r="D179" s="534"/>
      <c r="E179" s="602">
        <v>100</v>
      </c>
      <c r="F179" s="602"/>
      <c r="G179" s="417">
        <v>50</v>
      </c>
      <c r="H179" s="417"/>
      <c r="I179" s="603">
        <f t="shared" si="4"/>
        <v>5000</v>
      </c>
      <c r="J179" s="604"/>
      <c r="K179" s="368"/>
    </row>
    <row r="180" spans="1:12" s="320" customFormat="1" x14ac:dyDescent="0.25">
      <c r="A180" s="291">
        <v>5</v>
      </c>
      <c r="B180" s="534" t="s">
        <v>668</v>
      </c>
      <c r="C180" s="534"/>
      <c r="D180" s="534"/>
      <c r="E180" s="602">
        <v>9</v>
      </c>
      <c r="F180" s="602"/>
      <c r="G180" s="417">
        <v>1500</v>
      </c>
      <c r="H180" s="417"/>
      <c r="I180" s="603">
        <f t="shared" si="4"/>
        <v>13500</v>
      </c>
      <c r="J180" s="604"/>
      <c r="K180" s="368"/>
    </row>
    <row r="181" spans="1:12" s="320" customFormat="1" x14ac:dyDescent="0.25">
      <c r="A181" s="291">
        <v>6</v>
      </c>
      <c r="B181" s="534" t="s">
        <v>669</v>
      </c>
      <c r="C181" s="534"/>
      <c r="D181" s="534"/>
      <c r="E181" s="602">
        <v>5</v>
      </c>
      <c r="F181" s="602"/>
      <c r="G181" s="417">
        <v>1000</v>
      </c>
      <c r="H181" s="417"/>
      <c r="I181" s="603">
        <f t="shared" si="4"/>
        <v>5000</v>
      </c>
      <c r="J181" s="604"/>
      <c r="K181" s="368"/>
    </row>
    <row r="182" spans="1:12" s="320" customFormat="1" x14ac:dyDescent="0.25">
      <c r="A182" s="291">
        <v>7</v>
      </c>
      <c r="B182" s="534" t="s">
        <v>670</v>
      </c>
      <c r="C182" s="534"/>
      <c r="D182" s="534"/>
      <c r="E182" s="602">
        <v>9</v>
      </c>
      <c r="F182" s="602"/>
      <c r="G182" s="417">
        <v>150</v>
      </c>
      <c r="H182" s="417"/>
      <c r="I182" s="603">
        <f t="shared" si="4"/>
        <v>1350</v>
      </c>
      <c r="J182" s="604"/>
      <c r="K182" s="368"/>
    </row>
    <row r="183" spans="1:12" s="320" customFormat="1" x14ac:dyDescent="0.25">
      <c r="A183" s="291">
        <v>8</v>
      </c>
      <c r="B183" s="534" t="s">
        <v>652</v>
      </c>
      <c r="C183" s="534"/>
      <c r="D183" s="534"/>
      <c r="E183" s="602">
        <v>100</v>
      </c>
      <c r="F183" s="602"/>
      <c r="G183" s="417">
        <v>125</v>
      </c>
      <c r="H183" s="417"/>
      <c r="I183" s="603">
        <f t="shared" si="4"/>
        <v>12500</v>
      </c>
      <c r="J183" s="604"/>
      <c r="K183" s="368"/>
    </row>
    <row r="184" spans="1:12" s="320" customFormat="1" x14ac:dyDescent="0.25">
      <c r="A184" s="369"/>
      <c r="B184" s="609" t="s">
        <v>585</v>
      </c>
      <c r="C184" s="606"/>
      <c r="D184" s="606"/>
      <c r="E184" s="606"/>
      <c r="F184" s="606"/>
      <c r="G184" s="606"/>
      <c r="H184" s="608"/>
      <c r="I184" s="607">
        <f>I185+I186</f>
        <v>4000</v>
      </c>
      <c r="J184" s="610"/>
      <c r="K184" s="368"/>
    </row>
    <row r="185" spans="1:12" s="320" customFormat="1" x14ac:dyDescent="0.25">
      <c r="A185" s="291">
        <v>1</v>
      </c>
      <c r="B185" s="534" t="s">
        <v>677</v>
      </c>
      <c r="C185" s="534"/>
      <c r="D185" s="534"/>
      <c r="E185" s="602">
        <v>20</v>
      </c>
      <c r="F185" s="602"/>
      <c r="G185" s="417">
        <v>50</v>
      </c>
      <c r="H185" s="417"/>
      <c r="I185" s="603">
        <f>E185*G185</f>
        <v>1000</v>
      </c>
      <c r="J185" s="604"/>
      <c r="K185" s="368"/>
    </row>
    <row r="186" spans="1:12" s="320" customFormat="1" x14ac:dyDescent="0.25">
      <c r="A186" s="291">
        <v>2</v>
      </c>
      <c r="B186" s="534" t="s">
        <v>678</v>
      </c>
      <c r="C186" s="534"/>
      <c r="D186" s="534"/>
      <c r="E186" s="602">
        <v>20</v>
      </c>
      <c r="F186" s="602"/>
      <c r="G186" s="417">
        <v>150</v>
      </c>
      <c r="H186" s="417"/>
      <c r="I186" s="603">
        <f t="shared" ref="I186" si="5">E186*G186</f>
        <v>3000</v>
      </c>
      <c r="J186" s="604"/>
      <c r="K186" s="368"/>
    </row>
    <row r="187" spans="1:12" s="320" customFormat="1" x14ac:dyDescent="0.25">
      <c r="A187" s="369"/>
      <c r="B187" s="606" t="s">
        <v>589</v>
      </c>
      <c r="C187" s="606"/>
      <c r="D187" s="606"/>
      <c r="E187" s="606"/>
      <c r="F187" s="606"/>
      <c r="G187" s="606"/>
      <c r="H187" s="606"/>
      <c r="I187" s="607">
        <f>I188+I189+I190+I191+I192+I193</f>
        <v>79000</v>
      </c>
      <c r="J187" s="608"/>
      <c r="K187" s="370"/>
      <c r="L187" s="370"/>
    </row>
    <row r="188" spans="1:12" s="320" customFormat="1" x14ac:dyDescent="0.25">
      <c r="A188" s="291">
        <v>1</v>
      </c>
      <c r="B188" s="534" t="s">
        <v>679</v>
      </c>
      <c r="C188" s="534"/>
      <c r="D188" s="534"/>
      <c r="E188" s="602">
        <v>150</v>
      </c>
      <c r="F188" s="602"/>
      <c r="G188" s="417">
        <v>150</v>
      </c>
      <c r="H188" s="417"/>
      <c r="I188" s="603">
        <f>E188*G188</f>
        <v>22500</v>
      </c>
      <c r="J188" s="604"/>
      <c r="K188" s="368"/>
    </row>
    <row r="189" spans="1:12" s="320" customFormat="1" x14ac:dyDescent="0.25">
      <c r="A189" s="291">
        <v>2</v>
      </c>
      <c r="B189" s="534" t="s">
        <v>680</v>
      </c>
      <c r="C189" s="534"/>
      <c r="D189" s="534"/>
      <c r="E189" s="602">
        <v>3</v>
      </c>
      <c r="F189" s="602"/>
      <c r="G189" s="417">
        <v>1500</v>
      </c>
      <c r="H189" s="417"/>
      <c r="I189" s="603">
        <f t="shared" ref="I189:I193" si="6">E189*G189</f>
        <v>4500</v>
      </c>
      <c r="J189" s="604"/>
      <c r="K189" s="368"/>
    </row>
    <row r="190" spans="1:12" s="320" customFormat="1" x14ac:dyDescent="0.25">
      <c r="A190" s="291">
        <v>3</v>
      </c>
      <c r="B190" s="534" t="s">
        <v>681</v>
      </c>
      <c r="C190" s="534"/>
      <c r="D190" s="534"/>
      <c r="E190" s="602">
        <v>4</v>
      </c>
      <c r="F190" s="602"/>
      <c r="G190" s="417">
        <v>1500</v>
      </c>
      <c r="H190" s="417"/>
      <c r="I190" s="603">
        <f t="shared" si="6"/>
        <v>6000</v>
      </c>
      <c r="J190" s="604"/>
      <c r="K190" s="368"/>
    </row>
    <row r="191" spans="1:12" s="320" customFormat="1" x14ac:dyDescent="0.25">
      <c r="A191" s="291">
        <v>4</v>
      </c>
      <c r="B191" s="534" t="s">
        <v>682</v>
      </c>
      <c r="C191" s="534"/>
      <c r="D191" s="534"/>
      <c r="E191" s="602">
        <v>12</v>
      </c>
      <c r="F191" s="602"/>
      <c r="G191" s="417">
        <v>1500</v>
      </c>
      <c r="H191" s="417"/>
      <c r="I191" s="603">
        <f t="shared" si="6"/>
        <v>18000</v>
      </c>
      <c r="J191" s="604"/>
      <c r="K191" s="368"/>
    </row>
    <row r="192" spans="1:12" s="320" customFormat="1" x14ac:dyDescent="0.25">
      <c r="A192" s="291">
        <v>5</v>
      </c>
      <c r="B192" s="534" t="s">
        <v>683</v>
      </c>
      <c r="C192" s="534"/>
      <c r="D192" s="534"/>
      <c r="E192" s="602">
        <v>200</v>
      </c>
      <c r="F192" s="602"/>
      <c r="G192" s="417">
        <v>40</v>
      </c>
      <c r="H192" s="417"/>
      <c r="I192" s="603">
        <f t="shared" si="6"/>
        <v>8000</v>
      </c>
      <c r="J192" s="604"/>
      <c r="K192" s="368"/>
    </row>
    <row r="193" spans="1:13" s="320" customFormat="1" x14ac:dyDescent="0.25">
      <c r="A193" s="291">
        <v>6</v>
      </c>
      <c r="B193" s="534" t="s">
        <v>684</v>
      </c>
      <c r="C193" s="534"/>
      <c r="D193" s="534"/>
      <c r="E193" s="602">
        <v>200</v>
      </c>
      <c r="F193" s="602"/>
      <c r="G193" s="417">
        <v>100</v>
      </c>
      <c r="H193" s="417"/>
      <c r="I193" s="603">
        <f t="shared" si="6"/>
        <v>20000</v>
      </c>
      <c r="J193" s="604"/>
      <c r="K193" s="368"/>
    </row>
    <row r="194" spans="1:13" s="320" customFormat="1" x14ac:dyDescent="0.25">
      <c r="A194" s="369"/>
      <c r="B194" s="606"/>
      <c r="C194" s="606"/>
      <c r="D194" s="606"/>
      <c r="E194" s="606"/>
      <c r="F194" s="606"/>
      <c r="G194" s="606"/>
      <c r="H194" s="606"/>
      <c r="I194" s="607"/>
      <c r="J194" s="608"/>
      <c r="K194" s="370"/>
      <c r="L194" s="370"/>
    </row>
    <row r="195" spans="1:13" s="320" customFormat="1" x14ac:dyDescent="0.25">
      <c r="A195" s="291"/>
      <c r="B195" s="534"/>
      <c r="C195" s="534"/>
      <c r="D195" s="534"/>
      <c r="E195" s="482"/>
      <c r="F195" s="483"/>
      <c r="G195" s="605"/>
      <c r="H195" s="605"/>
      <c r="I195" s="603"/>
      <c r="J195" s="604"/>
      <c r="K195" s="370"/>
      <c r="L195" s="370"/>
    </row>
    <row r="196" spans="1:13" s="320" customFormat="1" x14ac:dyDescent="0.25">
      <c r="A196" s="291"/>
      <c r="B196" s="534"/>
      <c r="C196" s="534"/>
      <c r="D196" s="534"/>
      <c r="E196" s="482"/>
      <c r="F196" s="483"/>
      <c r="G196" s="605"/>
      <c r="H196" s="605"/>
      <c r="I196" s="603"/>
      <c r="J196" s="604"/>
      <c r="K196" s="370"/>
      <c r="L196" s="370"/>
    </row>
    <row r="197" spans="1:13" s="320" customFormat="1" x14ac:dyDescent="0.25">
      <c r="A197" s="369"/>
      <c r="B197" s="606" t="s">
        <v>685</v>
      </c>
      <c r="C197" s="606"/>
      <c r="D197" s="606"/>
      <c r="E197" s="606"/>
      <c r="F197" s="606"/>
      <c r="G197" s="606"/>
      <c r="H197" s="606"/>
      <c r="I197" s="607">
        <f>SUM(I198:J198)</f>
        <v>40000</v>
      </c>
      <c r="J197" s="608"/>
      <c r="K197" s="368"/>
    </row>
    <row r="198" spans="1:13" s="320" customFormat="1" x14ac:dyDescent="0.25">
      <c r="A198" s="291">
        <v>1</v>
      </c>
      <c r="B198" s="534" t="s">
        <v>680</v>
      </c>
      <c r="C198" s="534"/>
      <c r="D198" s="534"/>
      <c r="E198" s="602">
        <v>25</v>
      </c>
      <c r="F198" s="602"/>
      <c r="G198" s="417">
        <v>1600</v>
      </c>
      <c r="H198" s="417"/>
      <c r="I198" s="603">
        <f t="shared" ref="I198" si="7">E198*G198</f>
        <v>40000</v>
      </c>
      <c r="J198" s="604"/>
      <c r="K198" s="368"/>
    </row>
    <row r="199" spans="1:13" x14ac:dyDescent="0.25">
      <c r="A199" s="301"/>
      <c r="B199" s="507" t="s">
        <v>13</v>
      </c>
      <c r="C199" s="507"/>
      <c r="D199" s="507"/>
      <c r="E199" s="590"/>
      <c r="F199" s="590"/>
      <c r="G199" s="508" t="s">
        <v>14</v>
      </c>
      <c r="H199" s="508"/>
      <c r="I199" s="677">
        <f>I187+I184+I175+I194+I197</f>
        <v>166450</v>
      </c>
      <c r="J199" s="677"/>
      <c r="M199" s="93"/>
    </row>
    <row r="200" spans="1:13" ht="15.75" x14ac:dyDescent="0.25">
      <c r="A200" s="669" t="s">
        <v>369</v>
      </c>
      <c r="B200" s="669"/>
      <c r="C200" s="669"/>
      <c r="D200" s="669"/>
      <c r="E200" s="669"/>
      <c r="F200" s="669"/>
      <c r="G200" s="669"/>
      <c r="H200" s="669"/>
      <c r="I200" s="669"/>
      <c r="J200" s="669"/>
      <c r="M200" s="93"/>
    </row>
    <row r="201" spans="1:13" ht="25.5" x14ac:dyDescent="0.25">
      <c r="A201" s="288" t="s">
        <v>1</v>
      </c>
      <c r="B201" s="402" t="s">
        <v>15</v>
      </c>
      <c r="C201" s="402"/>
      <c r="D201" s="402"/>
      <c r="E201" s="402" t="s">
        <v>58</v>
      </c>
      <c r="F201" s="402"/>
      <c r="G201" s="402" t="s">
        <v>66</v>
      </c>
      <c r="H201" s="402"/>
      <c r="I201" s="490" t="s">
        <v>264</v>
      </c>
      <c r="J201" s="492"/>
      <c r="M201" s="93"/>
    </row>
    <row r="202" spans="1:13" x14ac:dyDescent="0.25">
      <c r="A202" s="288">
        <v>1</v>
      </c>
      <c r="B202" s="402">
        <v>2</v>
      </c>
      <c r="C202" s="402"/>
      <c r="D202" s="402"/>
      <c r="E202" s="402">
        <v>3</v>
      </c>
      <c r="F202" s="402"/>
      <c r="G202" s="402">
        <v>4</v>
      </c>
      <c r="H202" s="402"/>
      <c r="I202" s="402">
        <v>5</v>
      </c>
      <c r="J202" s="402"/>
      <c r="M202" s="93"/>
    </row>
    <row r="203" spans="1:13" x14ac:dyDescent="0.25">
      <c r="A203" s="298">
        <v>1</v>
      </c>
      <c r="B203" s="661" t="s">
        <v>385</v>
      </c>
      <c r="C203" s="662"/>
      <c r="D203" s="663"/>
      <c r="E203" s="123"/>
      <c r="F203" s="122"/>
      <c r="G203" s="522"/>
      <c r="H203" s="522"/>
      <c r="I203" s="563">
        <f>I207</f>
        <v>0</v>
      </c>
      <c r="J203" s="564"/>
      <c r="M203" s="93"/>
    </row>
    <row r="204" spans="1:13" x14ac:dyDescent="0.25">
      <c r="A204" s="301"/>
      <c r="B204" s="541"/>
      <c r="C204" s="542"/>
      <c r="D204" s="543"/>
      <c r="E204" s="124"/>
      <c r="F204" s="183"/>
      <c r="G204" s="552"/>
      <c r="H204" s="552"/>
      <c r="I204" s="678"/>
      <c r="J204" s="545"/>
      <c r="M204" s="93"/>
    </row>
    <row r="205" spans="1:13" x14ac:dyDescent="0.25">
      <c r="A205" s="301"/>
      <c r="B205" s="541"/>
      <c r="C205" s="542"/>
      <c r="D205" s="543"/>
      <c r="E205" s="124"/>
      <c r="F205" s="183"/>
      <c r="G205" s="552"/>
      <c r="H205" s="552"/>
      <c r="I205" s="678"/>
      <c r="J205" s="545"/>
      <c r="M205" s="93"/>
    </row>
    <row r="206" spans="1:13" x14ac:dyDescent="0.25">
      <c r="A206" s="301" t="s">
        <v>270</v>
      </c>
      <c r="B206" s="541" t="s">
        <v>343</v>
      </c>
      <c r="C206" s="542"/>
      <c r="D206" s="543"/>
      <c r="E206" s="124" t="s">
        <v>315</v>
      </c>
      <c r="F206" s="183">
        <v>463</v>
      </c>
      <c r="G206" s="552" t="s">
        <v>74</v>
      </c>
      <c r="H206" s="552"/>
      <c r="I206" s="678"/>
      <c r="J206" s="545"/>
      <c r="M206" s="93"/>
    </row>
    <row r="207" spans="1:13" x14ac:dyDescent="0.25">
      <c r="A207" s="301"/>
      <c r="B207" s="507" t="s">
        <v>13</v>
      </c>
      <c r="C207" s="507"/>
      <c r="D207" s="507"/>
      <c r="E207" s="590"/>
      <c r="F207" s="590"/>
      <c r="G207" s="508" t="s">
        <v>14</v>
      </c>
      <c r="H207" s="508"/>
      <c r="I207" s="677">
        <f>SUM(I204:I206)</f>
        <v>0</v>
      </c>
      <c r="J207" s="677"/>
      <c r="M207" s="93"/>
    </row>
    <row r="208" spans="1:13" ht="15.75" x14ac:dyDescent="0.25">
      <c r="A208" s="669" t="s">
        <v>365</v>
      </c>
      <c r="B208" s="669"/>
      <c r="C208" s="669"/>
      <c r="D208" s="669"/>
      <c r="E208" s="669"/>
      <c r="F208" s="669"/>
      <c r="G208" s="669"/>
      <c r="H208" s="669"/>
      <c r="I208" s="669"/>
      <c r="J208" s="669"/>
      <c r="M208" s="93"/>
    </row>
    <row r="209" spans="1:13" ht="25.5" x14ac:dyDescent="0.25">
      <c r="A209" s="288" t="s">
        <v>1</v>
      </c>
      <c r="B209" s="402" t="s">
        <v>15</v>
      </c>
      <c r="C209" s="402"/>
      <c r="D209" s="402"/>
      <c r="E209" s="402" t="s">
        <v>58</v>
      </c>
      <c r="F209" s="402"/>
      <c r="G209" s="402" t="s">
        <v>66</v>
      </c>
      <c r="H209" s="402"/>
      <c r="I209" s="490" t="s">
        <v>264</v>
      </c>
      <c r="J209" s="492"/>
      <c r="M209" s="93"/>
    </row>
    <row r="210" spans="1:13" x14ac:dyDescent="0.25">
      <c r="A210" s="288">
        <v>1</v>
      </c>
      <c r="B210" s="402">
        <v>2</v>
      </c>
      <c r="C210" s="402"/>
      <c r="D210" s="402"/>
      <c r="E210" s="402">
        <v>3</v>
      </c>
      <c r="F210" s="402"/>
      <c r="G210" s="402">
        <v>4</v>
      </c>
      <c r="H210" s="402"/>
      <c r="I210" s="402">
        <v>5</v>
      </c>
      <c r="J210" s="402"/>
      <c r="M210" s="93"/>
    </row>
    <row r="211" spans="1:13" x14ac:dyDescent="0.25">
      <c r="A211" s="298">
        <v>1</v>
      </c>
      <c r="B211" s="661" t="s">
        <v>385</v>
      </c>
      <c r="C211" s="662"/>
      <c r="D211" s="663"/>
      <c r="E211" s="123"/>
      <c r="F211" s="122"/>
      <c r="G211" s="522"/>
      <c r="H211" s="522"/>
      <c r="I211" s="563">
        <f>I212</f>
        <v>0</v>
      </c>
      <c r="J211" s="564"/>
      <c r="M211" s="93"/>
    </row>
    <row r="212" spans="1:13" x14ac:dyDescent="0.25">
      <c r="A212" s="301" t="s">
        <v>27</v>
      </c>
      <c r="B212" s="541"/>
      <c r="C212" s="542"/>
      <c r="D212" s="543"/>
      <c r="E212" s="108"/>
      <c r="F212" s="183"/>
      <c r="G212" s="552"/>
      <c r="H212" s="552"/>
      <c r="I212" s="678"/>
      <c r="J212" s="545"/>
      <c r="M212" s="93"/>
    </row>
    <row r="213" spans="1:13" x14ac:dyDescent="0.25">
      <c r="A213" s="301" t="s">
        <v>287</v>
      </c>
      <c r="B213" s="546" t="s">
        <v>333</v>
      </c>
      <c r="C213" s="547"/>
      <c r="D213" s="548"/>
      <c r="E213" s="124" t="s">
        <v>331</v>
      </c>
      <c r="F213" s="183">
        <v>21</v>
      </c>
      <c r="G213" s="552" t="s">
        <v>74</v>
      </c>
      <c r="H213" s="552"/>
      <c r="I213" s="549"/>
      <c r="J213" s="550"/>
      <c r="M213" s="93"/>
    </row>
    <row r="214" spans="1:13" x14ac:dyDescent="0.25">
      <c r="A214" s="301" t="s">
        <v>344</v>
      </c>
      <c r="B214" s="541" t="s">
        <v>342</v>
      </c>
      <c r="C214" s="542"/>
      <c r="D214" s="543"/>
      <c r="E214" s="124" t="s">
        <v>331</v>
      </c>
      <c r="F214" s="183">
        <v>21</v>
      </c>
      <c r="G214" s="552" t="s">
        <v>74</v>
      </c>
      <c r="H214" s="552"/>
      <c r="I214" s="678"/>
      <c r="J214" s="545"/>
      <c r="M214" s="93"/>
    </row>
    <row r="215" spans="1:13" x14ac:dyDescent="0.25">
      <c r="A215" s="301"/>
      <c r="B215" s="507" t="s">
        <v>13</v>
      </c>
      <c r="C215" s="507"/>
      <c r="D215" s="507"/>
      <c r="E215" s="590"/>
      <c r="F215" s="590"/>
      <c r="G215" s="508" t="s">
        <v>14</v>
      </c>
      <c r="H215" s="508"/>
      <c r="I215" s="677">
        <f>I211</f>
        <v>0</v>
      </c>
      <c r="J215" s="677"/>
      <c r="M215" s="93"/>
    </row>
    <row r="216" spans="1:13" ht="15.75" x14ac:dyDescent="0.25">
      <c r="A216" s="489" t="s">
        <v>370</v>
      </c>
      <c r="B216" s="489"/>
      <c r="C216" s="489"/>
      <c r="D216" s="489"/>
      <c r="E216" s="489"/>
      <c r="F216" s="489"/>
      <c r="G216" s="489"/>
      <c r="H216" s="489"/>
      <c r="I216" s="489"/>
      <c r="J216" s="489"/>
      <c r="M216" s="93"/>
    </row>
    <row r="217" spans="1:13" x14ac:dyDescent="0.25">
      <c r="A217" s="523" t="s">
        <v>1</v>
      </c>
      <c r="B217" s="525" t="s">
        <v>15</v>
      </c>
      <c r="C217" s="526"/>
      <c r="D217" s="527"/>
      <c r="E217" s="525" t="s">
        <v>64</v>
      </c>
      <c r="F217" s="527"/>
      <c r="G217" s="402" t="s">
        <v>65</v>
      </c>
      <c r="H217" s="402"/>
      <c r="I217" s="402"/>
      <c r="J217" s="402"/>
      <c r="M217" s="93"/>
    </row>
    <row r="218" spans="1:13" ht="25.5" x14ac:dyDescent="0.25">
      <c r="A218" s="524"/>
      <c r="B218" s="528"/>
      <c r="C218" s="529"/>
      <c r="D218" s="530"/>
      <c r="E218" s="528"/>
      <c r="F218" s="530"/>
      <c r="G218" s="288" t="s">
        <v>308</v>
      </c>
      <c r="H218" s="288" t="s">
        <v>305</v>
      </c>
      <c r="I218" s="288" t="s">
        <v>306</v>
      </c>
      <c r="J218" s="288" t="s">
        <v>307</v>
      </c>
      <c r="M218" s="93"/>
    </row>
    <row r="219" spans="1:13" x14ac:dyDescent="0.25">
      <c r="A219" s="288">
        <v>1</v>
      </c>
      <c r="B219" s="402">
        <v>2</v>
      </c>
      <c r="C219" s="402"/>
      <c r="D219" s="402"/>
      <c r="E219" s="490">
        <v>3</v>
      </c>
      <c r="F219" s="492"/>
      <c r="G219" s="402">
        <v>4</v>
      </c>
      <c r="H219" s="402"/>
      <c r="I219" s="402"/>
      <c r="J219" s="402"/>
      <c r="M219" s="93"/>
    </row>
    <row r="220" spans="1:13" x14ac:dyDescent="0.25">
      <c r="A220" s="205" t="s">
        <v>70</v>
      </c>
      <c r="B220" s="679" t="s">
        <v>386</v>
      </c>
      <c r="C220" s="679"/>
      <c r="D220" s="679"/>
      <c r="E220" s="475"/>
      <c r="F220" s="476"/>
      <c r="G220" s="298"/>
      <c r="H220" s="298"/>
      <c r="I220" s="222"/>
      <c r="J220" s="204">
        <f>J221+J222</f>
        <v>0</v>
      </c>
      <c r="M220" s="93"/>
    </row>
    <row r="221" spans="1:13" x14ac:dyDescent="0.25">
      <c r="A221" s="290" t="s">
        <v>70</v>
      </c>
      <c r="B221" s="510"/>
      <c r="C221" s="510"/>
      <c r="D221" s="510"/>
      <c r="E221" s="496">
        <v>1</v>
      </c>
      <c r="F221" s="497"/>
      <c r="G221" s="301" t="s">
        <v>309</v>
      </c>
      <c r="H221" s="301"/>
      <c r="I221" s="105"/>
      <c r="J221" s="128"/>
      <c r="M221" s="93"/>
    </row>
    <row r="222" spans="1:13" x14ac:dyDescent="0.25">
      <c r="A222" s="301" t="s">
        <v>75</v>
      </c>
      <c r="B222" s="687"/>
      <c r="C222" s="687"/>
      <c r="D222" s="687"/>
      <c r="E222" s="496">
        <v>1</v>
      </c>
      <c r="F222" s="497"/>
      <c r="G222" s="301" t="s">
        <v>309</v>
      </c>
      <c r="H222" s="301"/>
      <c r="I222" s="105"/>
      <c r="J222" s="128"/>
      <c r="M222" s="93"/>
    </row>
    <row r="223" spans="1:13" ht="15.75" x14ac:dyDescent="0.25">
      <c r="A223" s="106"/>
      <c r="B223" s="586" t="s">
        <v>13</v>
      </c>
      <c r="C223" s="586"/>
      <c r="D223" s="586"/>
      <c r="E223" s="587" t="s">
        <v>14</v>
      </c>
      <c r="F223" s="588"/>
      <c r="G223" s="589">
        <f>J220</f>
        <v>0</v>
      </c>
      <c r="H223" s="590"/>
      <c r="I223" s="590"/>
      <c r="J223" s="590"/>
      <c r="M223" s="93"/>
    </row>
    <row r="224" spans="1:13" x14ac:dyDescent="0.25">
      <c r="M224" s="93"/>
    </row>
    <row r="225" spans="1:13" x14ac:dyDescent="0.25">
      <c r="H225" s="110" t="s">
        <v>212</v>
      </c>
      <c r="J225" s="127">
        <f>J227+J228</f>
        <v>595160</v>
      </c>
      <c r="M225" s="93"/>
    </row>
    <row r="226" spans="1:13" x14ac:dyDescent="0.25">
      <c r="H226" s="111" t="s">
        <v>248</v>
      </c>
      <c r="M226" s="93"/>
    </row>
    <row r="227" spans="1:13" x14ac:dyDescent="0.25">
      <c r="H227" s="125" t="s">
        <v>686</v>
      </c>
      <c r="J227" s="126">
        <f>I197+I187+I184+I175+I159+I147+I139+I141+I127+I129+I131+I103+I105+I109+G98+I33</f>
        <v>575160</v>
      </c>
      <c r="M227" s="93"/>
    </row>
    <row r="228" spans="1:13" x14ac:dyDescent="0.25">
      <c r="H228" s="125" t="s">
        <v>687</v>
      </c>
      <c r="I228" s="308"/>
      <c r="J228" s="307">
        <f>I194+I113</f>
        <v>20000</v>
      </c>
      <c r="M228" s="93"/>
    </row>
    <row r="229" spans="1:13" x14ac:dyDescent="0.25">
      <c r="H229" s="125"/>
      <c r="J229" s="173"/>
      <c r="M229" s="93"/>
    </row>
    <row r="230" spans="1:13" x14ac:dyDescent="0.25">
      <c r="M230" s="93"/>
    </row>
    <row r="231" spans="1:13" s="119" customFormat="1" x14ac:dyDescent="0.25">
      <c r="A231" s="406" t="s">
        <v>514</v>
      </c>
      <c r="B231" s="406"/>
      <c r="C231" s="406"/>
      <c r="D231" s="116"/>
      <c r="E231" s="116"/>
      <c r="F231" s="117" t="s">
        <v>690</v>
      </c>
      <c r="G231" s="118"/>
      <c r="H231" s="118"/>
    </row>
    <row r="232" spans="1:13" s="119" customFormat="1" ht="12.75" x14ac:dyDescent="0.2">
      <c r="A232" s="120"/>
      <c r="B232" s="120"/>
      <c r="C232" s="120"/>
      <c r="D232" s="407" t="s">
        <v>281</v>
      </c>
      <c r="E232" s="407"/>
      <c r="F232" s="271" t="s">
        <v>282</v>
      </c>
      <c r="G232" s="271"/>
      <c r="H232" s="271"/>
    </row>
    <row r="233" spans="1:13" s="121" customFormat="1" x14ac:dyDescent="0.25">
      <c r="A233" s="406" t="s">
        <v>262</v>
      </c>
      <c r="B233" s="406"/>
      <c r="C233" s="406"/>
      <c r="D233" s="116"/>
      <c r="E233" s="116"/>
      <c r="F233" s="117" t="s">
        <v>509</v>
      </c>
      <c r="G233" s="117"/>
      <c r="H233" s="117"/>
    </row>
    <row r="234" spans="1:13" s="119" customFormat="1" ht="12.75" x14ac:dyDescent="0.2">
      <c r="A234" s="120"/>
      <c r="B234" s="120"/>
      <c r="C234" s="120"/>
      <c r="D234" s="407" t="s">
        <v>281</v>
      </c>
      <c r="E234" s="407"/>
      <c r="F234" s="271" t="s">
        <v>282</v>
      </c>
      <c r="G234" s="271"/>
      <c r="H234" s="271"/>
    </row>
    <row r="235" spans="1:13" s="121" customFormat="1" x14ac:dyDescent="0.25">
      <c r="A235" s="406" t="s">
        <v>374</v>
      </c>
      <c r="B235" s="406"/>
      <c r="C235" s="406"/>
      <c r="D235" s="116"/>
      <c r="E235" s="116"/>
      <c r="F235" s="117" t="s">
        <v>510</v>
      </c>
      <c r="G235" s="117"/>
      <c r="H235" s="117"/>
    </row>
    <row r="236" spans="1:13" s="119" customFormat="1" ht="12.75" x14ac:dyDescent="0.2">
      <c r="A236" s="342"/>
      <c r="B236" s="342"/>
      <c r="C236" s="342"/>
      <c r="D236" s="407" t="s">
        <v>281</v>
      </c>
      <c r="E236" s="407"/>
      <c r="F236" s="271" t="s">
        <v>282</v>
      </c>
      <c r="G236" s="271"/>
      <c r="H236" s="271"/>
    </row>
    <row r="237" spans="1:13" x14ac:dyDescent="0.25">
      <c r="A237" s="289"/>
      <c r="B237" s="289"/>
      <c r="C237" s="289"/>
      <c r="D237" s="289"/>
      <c r="E237" s="289"/>
      <c r="F237" s="289"/>
      <c r="G237" s="119"/>
      <c r="H237" s="119"/>
      <c r="I237" s="119"/>
      <c r="J237" s="119"/>
      <c r="M237" s="93"/>
    </row>
    <row r="238" spans="1:13" s="1" customFormat="1" x14ac:dyDescent="0.25">
      <c r="A238" s="47" t="s">
        <v>283</v>
      </c>
      <c r="B238" s="223" t="s">
        <v>578</v>
      </c>
      <c r="C238" s="340"/>
      <c r="D238" s="340"/>
      <c r="E238" s="340"/>
      <c r="F238" s="340"/>
      <c r="G238" s="45"/>
      <c r="H238" s="45"/>
      <c r="I238" s="45"/>
      <c r="J238" s="45"/>
    </row>
    <row r="239" spans="1:13" x14ac:dyDescent="0.25">
      <c r="A239" s="289"/>
      <c r="B239" s="289"/>
      <c r="C239" s="289"/>
      <c r="D239" s="289"/>
      <c r="E239" s="289"/>
      <c r="F239" s="289"/>
      <c r="G239" s="119"/>
      <c r="H239" s="119"/>
      <c r="I239" s="119"/>
      <c r="J239" s="119"/>
      <c r="M239" s="93"/>
    </row>
    <row r="240" spans="1:13" x14ac:dyDescent="0.25">
      <c r="A240" s="408"/>
      <c r="B240" s="408"/>
      <c r="C240" s="289"/>
      <c r="D240" s="289"/>
      <c r="E240" s="289"/>
      <c r="F240" s="289"/>
      <c r="G240" s="119"/>
      <c r="H240" s="119"/>
      <c r="I240" s="119"/>
      <c r="J240" s="119"/>
      <c r="M240" s="93"/>
    </row>
    <row r="241" spans="13:13" x14ac:dyDescent="0.25">
      <c r="M241" s="93"/>
    </row>
    <row r="242" spans="13:13" x14ac:dyDescent="0.25">
      <c r="M242" s="93"/>
    </row>
    <row r="243" spans="13:13" x14ac:dyDescent="0.25">
      <c r="M243" s="93"/>
    </row>
    <row r="244" spans="13:13" x14ac:dyDescent="0.25">
      <c r="M244" s="93"/>
    </row>
    <row r="245" spans="13:13" x14ac:dyDescent="0.25">
      <c r="M245" s="93"/>
    </row>
    <row r="246" spans="13:13" x14ac:dyDescent="0.25">
      <c r="M246" s="93"/>
    </row>
    <row r="247" spans="13:13" x14ac:dyDescent="0.25">
      <c r="M247" s="93"/>
    </row>
    <row r="248" spans="13:13" x14ac:dyDescent="0.25">
      <c r="M248" s="93"/>
    </row>
    <row r="249" spans="13:13" x14ac:dyDescent="0.25">
      <c r="M249" s="93"/>
    </row>
    <row r="250" spans="13:13" x14ac:dyDescent="0.25">
      <c r="M250" s="93"/>
    </row>
    <row r="251" spans="13:13" x14ac:dyDescent="0.25">
      <c r="M251" s="93"/>
    </row>
    <row r="252" spans="13:13" x14ac:dyDescent="0.25">
      <c r="M252" s="93"/>
    </row>
    <row r="253" spans="13:13" x14ac:dyDescent="0.25">
      <c r="M253" s="93"/>
    </row>
    <row r="254" spans="13:13" x14ac:dyDescent="0.25">
      <c r="M254" s="93"/>
    </row>
    <row r="255" spans="13:13" x14ac:dyDescent="0.25">
      <c r="M255" s="93"/>
    </row>
    <row r="256" spans="13:13" x14ac:dyDescent="0.25">
      <c r="M256" s="93"/>
    </row>
    <row r="257" spans="13:13" x14ac:dyDescent="0.25">
      <c r="M257" s="93"/>
    </row>
  </sheetData>
  <mergeCells count="606"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16:J16"/>
    <mergeCell ref="A17:J17"/>
    <mergeCell ref="A19:B19"/>
    <mergeCell ref="A20:J20"/>
    <mergeCell ref="A22:B22"/>
    <mergeCell ref="A23:J23"/>
    <mergeCell ref="I9:I11"/>
    <mergeCell ref="J9:J11"/>
    <mergeCell ref="D10:D11"/>
    <mergeCell ref="E10:G10"/>
    <mergeCell ref="A13:J13"/>
    <mergeCell ref="A15:B15"/>
    <mergeCell ref="B30:D30"/>
    <mergeCell ref="E30:F30"/>
    <mergeCell ref="I30:J30"/>
    <mergeCell ref="B31:H31"/>
    <mergeCell ref="I31:J31"/>
    <mergeCell ref="B32:D32"/>
    <mergeCell ref="G32:J32"/>
    <mergeCell ref="A25:B25"/>
    <mergeCell ref="A26:B26"/>
    <mergeCell ref="A27:B27"/>
    <mergeCell ref="A28:J28"/>
    <mergeCell ref="B29:D29"/>
    <mergeCell ref="E29:F29"/>
    <mergeCell ref="I29:J29"/>
    <mergeCell ref="B36:D36"/>
    <mergeCell ref="E36:F36"/>
    <mergeCell ref="I36:J36"/>
    <mergeCell ref="B37:D37"/>
    <mergeCell ref="E37:F37"/>
    <mergeCell ref="I37:J37"/>
    <mergeCell ref="B33:D33"/>
    <mergeCell ref="E33:F33"/>
    <mergeCell ref="I33:J33"/>
    <mergeCell ref="A34:J34"/>
    <mergeCell ref="B35:D35"/>
    <mergeCell ref="E35:F35"/>
    <mergeCell ref="I35:J35"/>
    <mergeCell ref="B41:F41"/>
    <mergeCell ref="G41:H41"/>
    <mergeCell ref="I41:J41"/>
    <mergeCell ref="B42:F42"/>
    <mergeCell ref="G42:H42"/>
    <mergeCell ref="I42:J42"/>
    <mergeCell ref="A38:J38"/>
    <mergeCell ref="B39:F39"/>
    <mergeCell ref="G39:H39"/>
    <mergeCell ref="I39:J39"/>
    <mergeCell ref="B40:F40"/>
    <mergeCell ref="G40:H40"/>
    <mergeCell ref="I40:J40"/>
    <mergeCell ref="B45:F45"/>
    <mergeCell ref="G45:H45"/>
    <mergeCell ref="I45:J45"/>
    <mergeCell ref="B46:F46"/>
    <mergeCell ref="G46:H46"/>
    <mergeCell ref="I46:J46"/>
    <mergeCell ref="B43:F43"/>
    <mergeCell ref="G43:H43"/>
    <mergeCell ref="I43:J43"/>
    <mergeCell ref="B44:F44"/>
    <mergeCell ref="G44:H44"/>
    <mergeCell ref="I44:J44"/>
    <mergeCell ref="B49:F49"/>
    <mergeCell ref="G49:H49"/>
    <mergeCell ref="I49:J49"/>
    <mergeCell ref="B50:F50"/>
    <mergeCell ref="G50:H50"/>
    <mergeCell ref="I50:J50"/>
    <mergeCell ref="B47:F47"/>
    <mergeCell ref="G47:H47"/>
    <mergeCell ref="I47:J47"/>
    <mergeCell ref="B48:F48"/>
    <mergeCell ref="G48:H48"/>
    <mergeCell ref="I48:J48"/>
    <mergeCell ref="K52:L52"/>
    <mergeCell ref="B53:F53"/>
    <mergeCell ref="G53:H53"/>
    <mergeCell ref="I53:J53"/>
    <mergeCell ref="B54:F54"/>
    <mergeCell ref="G54:H54"/>
    <mergeCell ref="I54:J54"/>
    <mergeCell ref="B51:F51"/>
    <mergeCell ref="G51:H51"/>
    <mergeCell ref="I51:J51"/>
    <mergeCell ref="B52:F52"/>
    <mergeCell ref="G52:H52"/>
    <mergeCell ref="I52:J52"/>
    <mergeCell ref="B60:D60"/>
    <mergeCell ref="E60:F60"/>
    <mergeCell ref="G60:H60"/>
    <mergeCell ref="I60:J60"/>
    <mergeCell ref="B61:D61"/>
    <mergeCell ref="E61:F61"/>
    <mergeCell ref="G61:H61"/>
    <mergeCell ref="I61:J61"/>
    <mergeCell ref="A55:J55"/>
    <mergeCell ref="A56:J56"/>
    <mergeCell ref="B59:D59"/>
    <mergeCell ref="E59:F59"/>
    <mergeCell ref="G59:H59"/>
    <mergeCell ref="I59:J59"/>
    <mergeCell ref="A62:J62"/>
    <mergeCell ref="B65:D65"/>
    <mergeCell ref="E65:F65"/>
    <mergeCell ref="G65:H65"/>
    <mergeCell ref="I65:J65"/>
    <mergeCell ref="B66:D66"/>
    <mergeCell ref="E66:F66"/>
    <mergeCell ref="G66:H66"/>
    <mergeCell ref="I66:J66"/>
    <mergeCell ref="B72:D72"/>
    <mergeCell ref="E72:F72"/>
    <mergeCell ref="G72:H72"/>
    <mergeCell ref="I72:J72"/>
    <mergeCell ref="B73:D73"/>
    <mergeCell ref="E73:F73"/>
    <mergeCell ref="G73:H73"/>
    <mergeCell ref="I73:J73"/>
    <mergeCell ref="B67:D67"/>
    <mergeCell ref="E67:F67"/>
    <mergeCell ref="G67:H67"/>
    <mergeCell ref="I67:J67"/>
    <mergeCell ref="A68:J68"/>
    <mergeCell ref="B71:D71"/>
    <mergeCell ref="E71:F71"/>
    <mergeCell ref="G71:H71"/>
    <mergeCell ref="I71:J71"/>
    <mergeCell ref="A74:J74"/>
    <mergeCell ref="B77:D77"/>
    <mergeCell ref="E77:F77"/>
    <mergeCell ref="G77:H77"/>
    <mergeCell ref="I77:J77"/>
    <mergeCell ref="B78:D78"/>
    <mergeCell ref="E78:F78"/>
    <mergeCell ref="G78:H78"/>
    <mergeCell ref="I78:J78"/>
    <mergeCell ref="B84:D84"/>
    <mergeCell ref="F84:G84"/>
    <mergeCell ref="I84:J84"/>
    <mergeCell ref="B85:D85"/>
    <mergeCell ref="F85:G85"/>
    <mergeCell ref="I85:J85"/>
    <mergeCell ref="B79:D79"/>
    <mergeCell ref="E79:F79"/>
    <mergeCell ref="G79:H79"/>
    <mergeCell ref="I79:J79"/>
    <mergeCell ref="A80:J80"/>
    <mergeCell ref="A83:J83"/>
    <mergeCell ref="B88:D88"/>
    <mergeCell ref="F88:G88"/>
    <mergeCell ref="I88:J88"/>
    <mergeCell ref="B89:D89"/>
    <mergeCell ref="F89:G89"/>
    <mergeCell ref="I89:J89"/>
    <mergeCell ref="B86:D86"/>
    <mergeCell ref="F86:G86"/>
    <mergeCell ref="I86:J86"/>
    <mergeCell ref="B87:D87"/>
    <mergeCell ref="F87:G87"/>
    <mergeCell ref="I87:J87"/>
    <mergeCell ref="B92:D92"/>
    <mergeCell ref="F92:G92"/>
    <mergeCell ref="I92:J92"/>
    <mergeCell ref="A93:J93"/>
    <mergeCell ref="B94:D94"/>
    <mergeCell ref="G94:J94"/>
    <mergeCell ref="B90:D90"/>
    <mergeCell ref="F90:G90"/>
    <mergeCell ref="I90:J90"/>
    <mergeCell ref="B91:D91"/>
    <mergeCell ref="F91:G91"/>
    <mergeCell ref="I91:J91"/>
    <mergeCell ref="B98:D98"/>
    <mergeCell ref="G98:J98"/>
    <mergeCell ref="A99:J99"/>
    <mergeCell ref="B100:D100"/>
    <mergeCell ref="E100:F100"/>
    <mergeCell ref="G100:J100"/>
    <mergeCell ref="B95:D95"/>
    <mergeCell ref="G95:J95"/>
    <mergeCell ref="B96:D96"/>
    <mergeCell ref="E96:F96"/>
    <mergeCell ref="G96:J96"/>
    <mergeCell ref="B97:D97"/>
    <mergeCell ref="G97:J97"/>
    <mergeCell ref="B103:H103"/>
    <mergeCell ref="I103:J103"/>
    <mergeCell ref="B104:D104"/>
    <mergeCell ref="E104:F104"/>
    <mergeCell ref="G104:H104"/>
    <mergeCell ref="I104:J104"/>
    <mergeCell ref="B101:D101"/>
    <mergeCell ref="E101:F101"/>
    <mergeCell ref="G101:J101"/>
    <mergeCell ref="B102:D102"/>
    <mergeCell ref="E102:F102"/>
    <mergeCell ref="G102:J102"/>
    <mergeCell ref="B107:D107"/>
    <mergeCell ref="E107:F107"/>
    <mergeCell ref="G107:H107"/>
    <mergeCell ref="I107:J107"/>
    <mergeCell ref="B108:D108"/>
    <mergeCell ref="E108:F108"/>
    <mergeCell ref="G108:H108"/>
    <mergeCell ref="I108:J108"/>
    <mergeCell ref="B105:H105"/>
    <mergeCell ref="I105:J105"/>
    <mergeCell ref="B106:D106"/>
    <mergeCell ref="E106:F106"/>
    <mergeCell ref="G106:H106"/>
    <mergeCell ref="I106:J106"/>
    <mergeCell ref="B111:D111"/>
    <mergeCell ref="E111:F111"/>
    <mergeCell ref="G111:H111"/>
    <mergeCell ref="I111:J111"/>
    <mergeCell ref="B112:D112"/>
    <mergeCell ref="E112:F112"/>
    <mergeCell ref="G112:H112"/>
    <mergeCell ref="I112:J112"/>
    <mergeCell ref="B109:H109"/>
    <mergeCell ref="I109:J109"/>
    <mergeCell ref="B110:D110"/>
    <mergeCell ref="E110:F110"/>
    <mergeCell ref="G110:H110"/>
    <mergeCell ref="I110:J110"/>
    <mergeCell ref="B115:D115"/>
    <mergeCell ref="E115:F115"/>
    <mergeCell ref="G115:H115"/>
    <mergeCell ref="I115:J115"/>
    <mergeCell ref="B116:D116"/>
    <mergeCell ref="E116:F116"/>
    <mergeCell ref="G116:J116"/>
    <mergeCell ref="B113:H113"/>
    <mergeCell ref="I113:J113"/>
    <mergeCell ref="B114:D114"/>
    <mergeCell ref="E114:F114"/>
    <mergeCell ref="G114:H114"/>
    <mergeCell ref="I114:J114"/>
    <mergeCell ref="B120:D120"/>
    <mergeCell ref="E120:F120"/>
    <mergeCell ref="G120:J120"/>
    <mergeCell ref="B121:D121"/>
    <mergeCell ref="G121:J121"/>
    <mergeCell ref="B122:D122"/>
    <mergeCell ref="G122:J122"/>
    <mergeCell ref="A117:J117"/>
    <mergeCell ref="B118:D118"/>
    <mergeCell ref="E118:F118"/>
    <mergeCell ref="G118:J118"/>
    <mergeCell ref="B119:D119"/>
    <mergeCell ref="E119:F119"/>
    <mergeCell ref="G119:J119"/>
    <mergeCell ref="A123:J123"/>
    <mergeCell ref="B124:D124"/>
    <mergeCell ref="E124:F124"/>
    <mergeCell ref="G124:H124"/>
    <mergeCell ref="I124:J124"/>
    <mergeCell ref="B125:D125"/>
    <mergeCell ref="E125:F125"/>
    <mergeCell ref="G125:H125"/>
    <mergeCell ref="I125:J125"/>
    <mergeCell ref="B129:H129"/>
    <mergeCell ref="I129:J129"/>
    <mergeCell ref="B130:D130"/>
    <mergeCell ref="E130:F130"/>
    <mergeCell ref="G130:H130"/>
    <mergeCell ref="I130:J130"/>
    <mergeCell ref="B126:D126"/>
    <mergeCell ref="G126:H126"/>
    <mergeCell ref="I126:J126"/>
    <mergeCell ref="B127:H127"/>
    <mergeCell ref="I127:J127"/>
    <mergeCell ref="B128:D128"/>
    <mergeCell ref="E128:F128"/>
    <mergeCell ref="G128:H128"/>
    <mergeCell ref="I128:J128"/>
    <mergeCell ref="B133:D133"/>
    <mergeCell ref="E133:F133"/>
    <mergeCell ref="G133:H133"/>
    <mergeCell ref="I133:J133"/>
    <mergeCell ref="B134:D134"/>
    <mergeCell ref="E134:F134"/>
    <mergeCell ref="G134:H134"/>
    <mergeCell ref="I134:J134"/>
    <mergeCell ref="B131:H131"/>
    <mergeCell ref="I131:J131"/>
    <mergeCell ref="B132:D132"/>
    <mergeCell ref="E132:F132"/>
    <mergeCell ref="G132:H132"/>
    <mergeCell ref="I132:J132"/>
    <mergeCell ref="B138:D138"/>
    <mergeCell ref="E138:F138"/>
    <mergeCell ref="G138:H138"/>
    <mergeCell ref="I138:J138"/>
    <mergeCell ref="B139:H139"/>
    <mergeCell ref="I139:J139"/>
    <mergeCell ref="A135:J135"/>
    <mergeCell ref="A136:J136"/>
    <mergeCell ref="B137:D137"/>
    <mergeCell ref="E137:F137"/>
    <mergeCell ref="G137:H137"/>
    <mergeCell ref="I137:J137"/>
    <mergeCell ref="B142:D142"/>
    <mergeCell ref="E142:F142"/>
    <mergeCell ref="G142:H142"/>
    <mergeCell ref="I142:J142"/>
    <mergeCell ref="B143:D143"/>
    <mergeCell ref="E143:F143"/>
    <mergeCell ref="G143:H143"/>
    <mergeCell ref="I143:J143"/>
    <mergeCell ref="B140:D140"/>
    <mergeCell ref="E140:F140"/>
    <mergeCell ref="G140:H140"/>
    <mergeCell ref="I140:J140"/>
    <mergeCell ref="B141:H141"/>
    <mergeCell ref="I141:J141"/>
    <mergeCell ref="A144:J144"/>
    <mergeCell ref="B145:D145"/>
    <mergeCell ref="E145:F145"/>
    <mergeCell ref="G145:H145"/>
    <mergeCell ref="I145:J145"/>
    <mergeCell ref="B146:D146"/>
    <mergeCell ref="E146:F146"/>
    <mergeCell ref="G146:H146"/>
    <mergeCell ref="I146:J146"/>
    <mergeCell ref="B149:D149"/>
    <mergeCell ref="E149:F149"/>
    <mergeCell ref="G149:H149"/>
    <mergeCell ref="I149:J149"/>
    <mergeCell ref="B150:D150"/>
    <mergeCell ref="E150:F150"/>
    <mergeCell ref="G150:H150"/>
    <mergeCell ref="I150:J150"/>
    <mergeCell ref="B147:H147"/>
    <mergeCell ref="I147:J147"/>
    <mergeCell ref="B148:D148"/>
    <mergeCell ref="E148:F148"/>
    <mergeCell ref="G148:H148"/>
    <mergeCell ref="I148:J148"/>
    <mergeCell ref="B153:D153"/>
    <mergeCell ref="E153:F153"/>
    <mergeCell ref="G153:H153"/>
    <mergeCell ref="I153:J153"/>
    <mergeCell ref="B154:D154"/>
    <mergeCell ref="E154:F154"/>
    <mergeCell ref="G154:H154"/>
    <mergeCell ref="I154:J154"/>
    <mergeCell ref="B151:D151"/>
    <mergeCell ref="E151:F151"/>
    <mergeCell ref="G151:H151"/>
    <mergeCell ref="I151:J151"/>
    <mergeCell ref="B152:D152"/>
    <mergeCell ref="E152:F152"/>
    <mergeCell ref="G152:H152"/>
    <mergeCell ref="I152:J152"/>
    <mergeCell ref="B157:D157"/>
    <mergeCell ref="E157:F157"/>
    <mergeCell ref="G157:H157"/>
    <mergeCell ref="I157:J157"/>
    <mergeCell ref="B158:D158"/>
    <mergeCell ref="E158:F158"/>
    <mergeCell ref="G158:H158"/>
    <mergeCell ref="I158:J158"/>
    <mergeCell ref="B155:D155"/>
    <mergeCell ref="E155:F155"/>
    <mergeCell ref="G155:H155"/>
    <mergeCell ref="I155:J155"/>
    <mergeCell ref="B156:D156"/>
    <mergeCell ref="E156:F156"/>
    <mergeCell ref="G156:H156"/>
    <mergeCell ref="I156:J156"/>
    <mergeCell ref="B161:D161"/>
    <mergeCell ref="E161:F161"/>
    <mergeCell ref="G161:H161"/>
    <mergeCell ref="I161:J161"/>
    <mergeCell ref="B162:D162"/>
    <mergeCell ref="E162:F162"/>
    <mergeCell ref="G162:H162"/>
    <mergeCell ref="I162:J162"/>
    <mergeCell ref="B159:H159"/>
    <mergeCell ref="I159:J159"/>
    <mergeCell ref="B160:D160"/>
    <mergeCell ref="E160:F160"/>
    <mergeCell ref="G160:H160"/>
    <mergeCell ref="I160:J160"/>
    <mergeCell ref="B165:D165"/>
    <mergeCell ref="E165:F165"/>
    <mergeCell ref="G165:H165"/>
    <mergeCell ref="I165:J165"/>
    <mergeCell ref="B166:D166"/>
    <mergeCell ref="E166:F166"/>
    <mergeCell ref="G166:H166"/>
    <mergeCell ref="I166:J166"/>
    <mergeCell ref="B163:D163"/>
    <mergeCell ref="E163:F163"/>
    <mergeCell ref="G163:H163"/>
    <mergeCell ref="I163:J163"/>
    <mergeCell ref="B164:D164"/>
    <mergeCell ref="E164:F164"/>
    <mergeCell ref="G164:H164"/>
    <mergeCell ref="I164:J164"/>
    <mergeCell ref="B169:D169"/>
    <mergeCell ref="E169:F169"/>
    <mergeCell ref="G169:H169"/>
    <mergeCell ref="I169:J169"/>
    <mergeCell ref="B170:D170"/>
    <mergeCell ref="E170:F170"/>
    <mergeCell ref="G170:H170"/>
    <mergeCell ref="I170:J170"/>
    <mergeCell ref="B167:D167"/>
    <mergeCell ref="E167:F167"/>
    <mergeCell ref="G167:H167"/>
    <mergeCell ref="I167:J167"/>
    <mergeCell ref="B168:D168"/>
    <mergeCell ref="E168:F168"/>
    <mergeCell ref="G168:H168"/>
    <mergeCell ref="I168:J168"/>
    <mergeCell ref="B174:D174"/>
    <mergeCell ref="E174:F174"/>
    <mergeCell ref="G174:H174"/>
    <mergeCell ref="I174:J174"/>
    <mergeCell ref="B175:H175"/>
    <mergeCell ref="I175:J175"/>
    <mergeCell ref="B171:D171"/>
    <mergeCell ref="E171:F171"/>
    <mergeCell ref="G171:H171"/>
    <mergeCell ref="I171:J171"/>
    <mergeCell ref="A172:J172"/>
    <mergeCell ref="B173:D173"/>
    <mergeCell ref="E173:F173"/>
    <mergeCell ref="G173:H173"/>
    <mergeCell ref="I173:J173"/>
    <mergeCell ref="B178:D178"/>
    <mergeCell ref="E178:F178"/>
    <mergeCell ref="G178:H178"/>
    <mergeCell ref="I178:J178"/>
    <mergeCell ref="B179:D179"/>
    <mergeCell ref="E179:F179"/>
    <mergeCell ref="G179:H179"/>
    <mergeCell ref="I179:J179"/>
    <mergeCell ref="B176:D176"/>
    <mergeCell ref="E176:F176"/>
    <mergeCell ref="G176:H176"/>
    <mergeCell ref="I176:J176"/>
    <mergeCell ref="B177:D177"/>
    <mergeCell ref="E177:F177"/>
    <mergeCell ref="G177:H177"/>
    <mergeCell ref="I177:J177"/>
    <mergeCell ref="B182:D182"/>
    <mergeCell ref="E182:F182"/>
    <mergeCell ref="G182:H182"/>
    <mergeCell ref="I182:J182"/>
    <mergeCell ref="B183:D183"/>
    <mergeCell ref="E183:F183"/>
    <mergeCell ref="G183:H183"/>
    <mergeCell ref="I183:J183"/>
    <mergeCell ref="B180:D180"/>
    <mergeCell ref="E180:F180"/>
    <mergeCell ref="G180:H180"/>
    <mergeCell ref="I180:J180"/>
    <mergeCell ref="B181:D181"/>
    <mergeCell ref="E181:F181"/>
    <mergeCell ref="G181:H181"/>
    <mergeCell ref="I181:J181"/>
    <mergeCell ref="B186:D186"/>
    <mergeCell ref="E186:F186"/>
    <mergeCell ref="G186:H186"/>
    <mergeCell ref="I186:J186"/>
    <mergeCell ref="B187:H187"/>
    <mergeCell ref="I187:J187"/>
    <mergeCell ref="B184:H184"/>
    <mergeCell ref="I184:J184"/>
    <mergeCell ref="B185:D185"/>
    <mergeCell ref="E185:F185"/>
    <mergeCell ref="G185:H185"/>
    <mergeCell ref="I185:J185"/>
    <mergeCell ref="B190:D190"/>
    <mergeCell ref="E190:F190"/>
    <mergeCell ref="G190:H190"/>
    <mergeCell ref="I190:J190"/>
    <mergeCell ref="B191:D191"/>
    <mergeCell ref="E191:F191"/>
    <mergeCell ref="G191:H191"/>
    <mergeCell ref="I191:J191"/>
    <mergeCell ref="B188:D188"/>
    <mergeCell ref="E188:F188"/>
    <mergeCell ref="G188:H188"/>
    <mergeCell ref="I188:J188"/>
    <mergeCell ref="B189:D189"/>
    <mergeCell ref="E189:F189"/>
    <mergeCell ref="G189:H189"/>
    <mergeCell ref="I189:J189"/>
    <mergeCell ref="B194:H194"/>
    <mergeCell ref="I194:J194"/>
    <mergeCell ref="B195:D195"/>
    <mergeCell ref="E195:F195"/>
    <mergeCell ref="G195:H195"/>
    <mergeCell ref="I195:J195"/>
    <mergeCell ref="B192:D192"/>
    <mergeCell ref="E192:F192"/>
    <mergeCell ref="G192:H192"/>
    <mergeCell ref="I192:J192"/>
    <mergeCell ref="B193:D193"/>
    <mergeCell ref="E193:F193"/>
    <mergeCell ref="G193:H193"/>
    <mergeCell ref="I193:J193"/>
    <mergeCell ref="B198:D198"/>
    <mergeCell ref="E198:F198"/>
    <mergeCell ref="G198:H198"/>
    <mergeCell ref="I198:J198"/>
    <mergeCell ref="B199:D199"/>
    <mergeCell ref="E199:F199"/>
    <mergeCell ref="G199:H199"/>
    <mergeCell ref="I199:J199"/>
    <mergeCell ref="B196:D196"/>
    <mergeCell ref="E196:F196"/>
    <mergeCell ref="G196:H196"/>
    <mergeCell ref="I196:J196"/>
    <mergeCell ref="B197:H197"/>
    <mergeCell ref="I197:J197"/>
    <mergeCell ref="A200:J200"/>
    <mergeCell ref="B201:D201"/>
    <mergeCell ref="E201:F201"/>
    <mergeCell ref="G201:H201"/>
    <mergeCell ref="I201:J201"/>
    <mergeCell ref="B202:D202"/>
    <mergeCell ref="E202:F202"/>
    <mergeCell ref="G202:H202"/>
    <mergeCell ref="I202:J202"/>
    <mergeCell ref="B205:D205"/>
    <mergeCell ref="G205:H205"/>
    <mergeCell ref="I205:J205"/>
    <mergeCell ref="B206:D206"/>
    <mergeCell ref="G206:H206"/>
    <mergeCell ref="I206:J206"/>
    <mergeCell ref="B203:D203"/>
    <mergeCell ref="G203:H203"/>
    <mergeCell ref="I203:J203"/>
    <mergeCell ref="B204:D204"/>
    <mergeCell ref="G204:H204"/>
    <mergeCell ref="I204:J204"/>
    <mergeCell ref="B210:D210"/>
    <mergeCell ref="E210:F210"/>
    <mergeCell ref="G210:H210"/>
    <mergeCell ref="I210:J210"/>
    <mergeCell ref="B211:D211"/>
    <mergeCell ref="G211:H211"/>
    <mergeCell ref="I211:J211"/>
    <mergeCell ref="B207:D207"/>
    <mergeCell ref="E207:F207"/>
    <mergeCell ref="G207:H207"/>
    <mergeCell ref="I207:J207"/>
    <mergeCell ref="A208:J208"/>
    <mergeCell ref="B209:D209"/>
    <mergeCell ref="E209:F209"/>
    <mergeCell ref="G209:H209"/>
    <mergeCell ref="I209:J209"/>
    <mergeCell ref="B214:D214"/>
    <mergeCell ref="G214:H214"/>
    <mergeCell ref="I214:J214"/>
    <mergeCell ref="B215:D215"/>
    <mergeCell ref="E215:F215"/>
    <mergeCell ref="G215:H215"/>
    <mergeCell ref="I215:J215"/>
    <mergeCell ref="B212:D212"/>
    <mergeCell ref="G212:H212"/>
    <mergeCell ref="I212:J212"/>
    <mergeCell ref="B213:D213"/>
    <mergeCell ref="G213:H213"/>
    <mergeCell ref="I213:J213"/>
    <mergeCell ref="B220:D220"/>
    <mergeCell ref="E220:F220"/>
    <mergeCell ref="B221:D221"/>
    <mergeCell ref="E221:F221"/>
    <mergeCell ref="B222:D222"/>
    <mergeCell ref="E222:F222"/>
    <mergeCell ref="A216:J216"/>
    <mergeCell ref="A217:A218"/>
    <mergeCell ref="B217:D218"/>
    <mergeCell ref="E217:F218"/>
    <mergeCell ref="G217:J217"/>
    <mergeCell ref="B219:D219"/>
    <mergeCell ref="E219:F219"/>
    <mergeCell ref="G219:J219"/>
    <mergeCell ref="A240:B240"/>
    <mergeCell ref="A233:C233"/>
    <mergeCell ref="D234:E234"/>
    <mergeCell ref="A235:C235"/>
    <mergeCell ref="D236:E236"/>
    <mergeCell ref="B223:D223"/>
    <mergeCell ref="E223:F223"/>
    <mergeCell ref="G223:J223"/>
    <mergeCell ref="A231:C231"/>
    <mergeCell ref="D232:E232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247"/>
  <sheetViews>
    <sheetView tabSelected="1" view="pageBreakPreview" topLeftCell="A186" zoomScaleNormal="100" zoomScaleSheetLayoutView="100" workbookViewId="0">
      <selection activeCell="N198" sqref="N198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3" width="9.140625" style="1"/>
    <col min="4" max="4" width="17.140625" style="1" customWidth="1"/>
    <col min="5" max="5" width="13.140625" style="1" customWidth="1"/>
    <col min="6" max="6" width="10.7109375" style="1" customWidth="1"/>
    <col min="7" max="7" width="12.28515625" style="1" customWidth="1"/>
    <col min="8" max="8" width="10.7109375" style="1" customWidth="1"/>
    <col min="9" max="9" width="11.5703125" style="1" customWidth="1"/>
    <col min="10" max="10" width="17.5703125" style="1" customWidth="1"/>
    <col min="11" max="11" width="16.42578125" style="1" customWidth="1"/>
    <col min="12" max="12" width="18.140625" style="1" customWidth="1"/>
    <col min="13" max="13" width="9.7109375" style="1" customWidth="1"/>
    <col min="14" max="14" width="14" style="1" customWidth="1"/>
    <col min="15" max="16384" width="9.140625" style="1"/>
  </cols>
  <sheetData>
    <row r="1" spans="1:11" ht="21" customHeight="1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34.5" customHeight="1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27.75" customHeight="1" x14ac:dyDescent="0.25">
      <c r="A3" s="432" t="s">
        <v>600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5.75" x14ac:dyDescent="0.25">
      <c r="A4" s="92"/>
      <c r="B4" s="93"/>
      <c r="C4" s="93"/>
      <c r="D4" s="94" t="s">
        <v>266</v>
      </c>
      <c r="E4" s="294">
        <v>2020</v>
      </c>
      <c r="F4" s="96" t="s">
        <v>279</v>
      </c>
      <c r="G4" s="93"/>
      <c r="H4" s="93"/>
      <c r="I4" s="93"/>
      <c r="J4" s="93"/>
    </row>
    <row r="5" spans="1:11" ht="15.75" x14ac:dyDescent="0.25">
      <c r="A5" s="433" t="s">
        <v>0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1" ht="15.75" x14ac:dyDescent="0.25">
      <c r="A6" s="92" t="s">
        <v>80</v>
      </c>
      <c r="B6" s="93"/>
      <c r="C6" s="97">
        <v>111</v>
      </c>
      <c r="D6" s="97">
        <v>112</v>
      </c>
      <c r="E6" s="97">
        <v>119</v>
      </c>
      <c r="F6" s="98"/>
      <c r="G6" s="98"/>
      <c r="H6" s="98"/>
      <c r="I6" s="98"/>
      <c r="J6" s="98"/>
    </row>
    <row r="7" spans="1:11" ht="15.75" x14ac:dyDescent="0.25">
      <c r="A7" s="92" t="s">
        <v>81</v>
      </c>
      <c r="B7" s="93"/>
      <c r="C7" s="93"/>
      <c r="D7" s="93"/>
      <c r="E7" s="99"/>
      <c r="F7" s="100"/>
      <c r="G7" s="99"/>
      <c r="H7" s="100"/>
      <c r="I7" s="100"/>
      <c r="J7" s="100"/>
    </row>
    <row r="8" spans="1:11" ht="15.75" x14ac:dyDescent="0.25">
      <c r="A8" s="434" t="s">
        <v>351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1" ht="15" customHeight="1" x14ac:dyDescent="0.25">
      <c r="A9" s="435" t="s">
        <v>1</v>
      </c>
      <c r="B9" s="410" t="s">
        <v>2</v>
      </c>
      <c r="C9" s="410" t="s">
        <v>3</v>
      </c>
      <c r="D9" s="435" t="s">
        <v>4</v>
      </c>
      <c r="E9" s="435"/>
      <c r="F9" s="435"/>
      <c r="G9" s="435"/>
      <c r="H9" s="435" t="s">
        <v>5</v>
      </c>
      <c r="I9" s="410" t="s">
        <v>6</v>
      </c>
      <c r="J9" s="410" t="s">
        <v>316</v>
      </c>
    </row>
    <row r="10" spans="1:11" ht="13.5" customHeight="1" x14ac:dyDescent="0.25">
      <c r="A10" s="435"/>
      <c r="B10" s="410"/>
      <c r="C10" s="410"/>
      <c r="D10" s="410" t="s">
        <v>8</v>
      </c>
      <c r="E10" s="410" t="s">
        <v>9</v>
      </c>
      <c r="F10" s="410"/>
      <c r="G10" s="410"/>
      <c r="H10" s="435"/>
      <c r="I10" s="410"/>
      <c r="J10" s="410"/>
    </row>
    <row r="11" spans="1:11" ht="74.25" customHeight="1" x14ac:dyDescent="0.25">
      <c r="A11" s="435"/>
      <c r="B11" s="410"/>
      <c r="C11" s="410"/>
      <c r="D11" s="410"/>
      <c r="E11" s="290" t="s">
        <v>10</v>
      </c>
      <c r="F11" s="290" t="s">
        <v>11</v>
      </c>
      <c r="G11" s="290" t="s">
        <v>12</v>
      </c>
      <c r="H11" s="435"/>
      <c r="I11" s="410"/>
      <c r="J11" s="410"/>
    </row>
    <row r="12" spans="1:11" ht="14.25" customHeight="1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>
        <v>10</v>
      </c>
    </row>
    <row r="13" spans="1:11" s="41" customFormat="1" ht="15" customHeight="1" x14ac:dyDescent="0.2">
      <c r="A13" s="409" t="s">
        <v>352</v>
      </c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1" s="41" customFormat="1" x14ac:dyDescent="0.2">
      <c r="A14" s="438" t="s">
        <v>319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1" ht="19.5" customHeight="1" x14ac:dyDescent="0.25">
      <c r="A15" s="295">
        <v>1</v>
      </c>
      <c r="B15" s="130" t="s">
        <v>514</v>
      </c>
      <c r="C15" s="295">
        <v>1</v>
      </c>
      <c r="D15" s="131">
        <f>E15+F15+G15</f>
        <v>25887.599999999999</v>
      </c>
      <c r="E15" s="131">
        <v>21573</v>
      </c>
      <c r="F15" s="131"/>
      <c r="G15" s="131">
        <v>4314.6000000000004</v>
      </c>
      <c r="H15" s="132">
        <v>50</v>
      </c>
      <c r="I15" s="295">
        <v>1.7</v>
      </c>
      <c r="J15" s="133">
        <f>((C15*D15*(H15/100+I15))*12)</f>
        <v>683432.64</v>
      </c>
    </row>
    <row r="16" spans="1:11" ht="15" customHeight="1" x14ac:dyDescent="0.25">
      <c r="A16" s="134"/>
      <c r="B16" s="135" t="s">
        <v>320</v>
      </c>
      <c r="C16" s="136">
        <f>SUM(C15:C15)</f>
        <v>1</v>
      </c>
      <c r="D16" s="137">
        <f>SUM(D15:D15)</f>
        <v>25887.599999999999</v>
      </c>
      <c r="E16" s="136" t="s">
        <v>14</v>
      </c>
      <c r="F16" s="136" t="s">
        <v>14</v>
      </c>
      <c r="G16" s="136" t="s">
        <v>14</v>
      </c>
      <c r="H16" s="136" t="s">
        <v>14</v>
      </c>
      <c r="I16" s="136" t="s">
        <v>14</v>
      </c>
      <c r="J16" s="137">
        <f>SUM(J15:J15)</f>
        <v>683432.64</v>
      </c>
      <c r="K16" s="151"/>
    </row>
    <row r="17" spans="1:11" ht="15" customHeight="1" x14ac:dyDescent="0.25">
      <c r="A17" s="436" t="s">
        <v>321</v>
      </c>
      <c r="B17" s="437"/>
      <c r="C17" s="437"/>
      <c r="D17" s="437"/>
      <c r="E17" s="437"/>
      <c r="F17" s="437"/>
      <c r="G17" s="437"/>
      <c r="H17" s="437"/>
      <c r="I17" s="437"/>
      <c r="J17" s="437"/>
    </row>
    <row r="18" spans="1:11" ht="30" x14ac:dyDescent="0.25">
      <c r="A18" s="295">
        <v>2</v>
      </c>
      <c r="B18" s="130" t="s">
        <v>601</v>
      </c>
      <c r="C18" s="295">
        <v>27.22</v>
      </c>
      <c r="D18" s="131">
        <f>E18+F18+G18</f>
        <v>13294.8</v>
      </c>
      <c r="E18" s="149">
        <v>11079</v>
      </c>
      <c r="F18" s="131"/>
      <c r="G18" s="131">
        <f>E18*20%</f>
        <v>2215.8000000000002</v>
      </c>
      <c r="H18" s="132">
        <v>50</v>
      </c>
      <c r="I18" s="295">
        <v>1.7</v>
      </c>
      <c r="J18" s="153">
        <f>(C18*D18*(H18/100+I18))*12</f>
        <v>9553749.6383999996</v>
      </c>
      <c r="K18" s="147"/>
    </row>
    <row r="19" spans="1:11" x14ac:dyDescent="0.25">
      <c r="A19" s="295">
        <v>3</v>
      </c>
      <c r="B19" s="130" t="s">
        <v>516</v>
      </c>
      <c r="C19" s="295">
        <v>1</v>
      </c>
      <c r="D19" s="131">
        <f t="shared" ref="D19:D31" si="0">E19+F19+G19</f>
        <v>14373.6</v>
      </c>
      <c r="E19" s="149">
        <v>11978</v>
      </c>
      <c r="F19" s="131"/>
      <c r="G19" s="131">
        <f t="shared" ref="G19:G23" si="1">E19*20%</f>
        <v>2395.6</v>
      </c>
      <c r="H19" s="132">
        <v>50</v>
      </c>
      <c r="I19" s="295">
        <v>1.7</v>
      </c>
      <c r="J19" s="153">
        <f t="shared" ref="J19:J23" si="2">(C19*D19*(H19/100+I19))*12</f>
        <v>379463.04000000004</v>
      </c>
    </row>
    <row r="20" spans="1:11" x14ac:dyDescent="0.25">
      <c r="A20" s="295">
        <v>4</v>
      </c>
      <c r="B20" s="130" t="s">
        <v>373</v>
      </c>
      <c r="C20" s="295">
        <v>1</v>
      </c>
      <c r="D20" s="131">
        <f t="shared" si="0"/>
        <v>12248.4</v>
      </c>
      <c r="E20" s="149">
        <v>10207</v>
      </c>
      <c r="F20" s="131"/>
      <c r="G20" s="131">
        <f t="shared" si="1"/>
        <v>2041.4</v>
      </c>
      <c r="H20" s="132">
        <v>50</v>
      </c>
      <c r="I20" s="295">
        <v>1.7</v>
      </c>
      <c r="J20" s="153">
        <f t="shared" si="2"/>
        <v>323357.76</v>
      </c>
    </row>
    <row r="21" spans="1:11" ht="20.25" customHeight="1" x14ac:dyDescent="0.25">
      <c r="A21" s="295">
        <v>5</v>
      </c>
      <c r="B21" s="130" t="s">
        <v>372</v>
      </c>
      <c r="C21" s="295">
        <v>1</v>
      </c>
      <c r="D21" s="131">
        <f t="shared" si="0"/>
        <v>12248.4</v>
      </c>
      <c r="E21" s="149">
        <v>10207</v>
      </c>
      <c r="F21" s="131"/>
      <c r="G21" s="131">
        <f t="shared" si="1"/>
        <v>2041.4</v>
      </c>
      <c r="H21" s="132">
        <v>50</v>
      </c>
      <c r="I21" s="295">
        <v>1.7</v>
      </c>
      <c r="J21" s="153">
        <f t="shared" si="2"/>
        <v>323357.76</v>
      </c>
      <c r="K21" s="89"/>
    </row>
    <row r="22" spans="1:11" ht="30.75" customHeight="1" x14ac:dyDescent="0.25">
      <c r="A22" s="295">
        <v>6</v>
      </c>
      <c r="B22" s="130" t="s">
        <v>517</v>
      </c>
      <c r="C22" s="295">
        <v>1</v>
      </c>
      <c r="D22" s="131">
        <f t="shared" si="0"/>
        <v>12248.4</v>
      </c>
      <c r="E22" s="149">
        <v>10207</v>
      </c>
      <c r="F22" s="131"/>
      <c r="G22" s="131">
        <f t="shared" si="1"/>
        <v>2041.4</v>
      </c>
      <c r="H22" s="132">
        <v>50</v>
      </c>
      <c r="I22" s="295">
        <v>1.7</v>
      </c>
      <c r="J22" s="153">
        <f t="shared" si="2"/>
        <v>323357.76</v>
      </c>
      <c r="K22" s="150"/>
    </row>
    <row r="23" spans="1:11" ht="15" customHeight="1" x14ac:dyDescent="0.25">
      <c r="A23" s="295">
        <v>7</v>
      </c>
      <c r="B23" s="130" t="s">
        <v>521</v>
      </c>
      <c r="C23" s="295">
        <v>1</v>
      </c>
      <c r="D23" s="131">
        <f>E23+F23+G23</f>
        <v>12248.4</v>
      </c>
      <c r="E23" s="149">
        <v>10207</v>
      </c>
      <c r="F23" s="131"/>
      <c r="G23" s="131">
        <f t="shared" si="1"/>
        <v>2041.4</v>
      </c>
      <c r="H23" s="132">
        <v>50</v>
      </c>
      <c r="I23" s="295">
        <v>1.7</v>
      </c>
      <c r="J23" s="153">
        <f t="shared" si="2"/>
        <v>323357.76</v>
      </c>
    </row>
    <row r="24" spans="1:11" ht="15" customHeight="1" x14ac:dyDescent="0.25">
      <c r="A24" s="134"/>
      <c r="B24" s="135" t="s">
        <v>324</v>
      </c>
      <c r="C24" s="136">
        <f>SUM(C18:C23)</f>
        <v>32.22</v>
      </c>
      <c r="D24" s="138">
        <f>SUM(D18:D23)</f>
        <v>76662</v>
      </c>
      <c r="E24" s="136" t="s">
        <v>14</v>
      </c>
      <c r="F24" s="136" t="s">
        <v>14</v>
      </c>
      <c r="G24" s="136" t="s">
        <v>14</v>
      </c>
      <c r="H24" s="136" t="s">
        <v>14</v>
      </c>
      <c r="I24" s="136" t="s">
        <v>14</v>
      </c>
      <c r="J24" s="138">
        <f>SUM(J18:J23)</f>
        <v>11226643.718399998</v>
      </c>
    </row>
    <row r="25" spans="1:11" ht="15" customHeight="1" x14ac:dyDescent="0.25">
      <c r="A25" s="436" t="s">
        <v>325</v>
      </c>
      <c r="B25" s="437"/>
      <c r="C25" s="437"/>
      <c r="D25" s="437"/>
      <c r="E25" s="437"/>
      <c r="F25" s="437"/>
      <c r="G25" s="437"/>
      <c r="H25" s="437"/>
      <c r="I25" s="437"/>
      <c r="J25" s="437"/>
    </row>
    <row r="26" spans="1:11" x14ac:dyDescent="0.25">
      <c r="A26" s="295">
        <v>8</v>
      </c>
      <c r="B26" s="130" t="s">
        <v>524</v>
      </c>
      <c r="C26" s="295">
        <v>0.5</v>
      </c>
      <c r="D26" s="131">
        <f t="shared" si="0"/>
        <v>10615.2</v>
      </c>
      <c r="E26" s="149">
        <v>8846</v>
      </c>
      <c r="F26" s="131"/>
      <c r="G26" s="131">
        <f>E26*20%</f>
        <v>1769.2</v>
      </c>
      <c r="H26" s="132">
        <v>50</v>
      </c>
      <c r="I26" s="295">
        <v>1.7</v>
      </c>
      <c r="J26" s="133">
        <f t="shared" ref="J26" si="3">(C26*D26*(H26/100+I26))*12</f>
        <v>140120.64000000001</v>
      </c>
      <c r="K26" s="150"/>
    </row>
    <row r="27" spans="1:11" ht="36.75" customHeight="1" x14ac:dyDescent="0.25">
      <c r="A27" s="134"/>
      <c r="B27" s="135" t="s">
        <v>327</v>
      </c>
      <c r="C27" s="136">
        <f>SUM(C26:C26)</f>
        <v>0.5</v>
      </c>
      <c r="D27" s="138">
        <f>SUM(D26:D26)</f>
        <v>10615.2</v>
      </c>
      <c r="E27" s="136" t="s">
        <v>14</v>
      </c>
      <c r="F27" s="136" t="s">
        <v>14</v>
      </c>
      <c r="G27" s="136" t="s">
        <v>14</v>
      </c>
      <c r="H27" s="136" t="s">
        <v>14</v>
      </c>
      <c r="I27" s="136" t="s">
        <v>14</v>
      </c>
      <c r="J27" s="139">
        <f>SUM(J26:J26)</f>
        <v>140120.64000000001</v>
      </c>
    </row>
    <row r="28" spans="1:11" ht="13.5" customHeight="1" x14ac:dyDescent="0.25">
      <c r="A28" s="436" t="s">
        <v>328</v>
      </c>
      <c r="B28" s="439"/>
      <c r="C28" s="439"/>
      <c r="D28" s="439"/>
      <c r="E28" s="439"/>
      <c r="F28" s="439"/>
      <c r="G28" s="439"/>
      <c r="H28" s="439"/>
      <c r="I28" s="439"/>
      <c r="J28" s="439"/>
    </row>
    <row r="29" spans="1:11" ht="13.5" customHeight="1" x14ac:dyDescent="0.25">
      <c r="A29" s="295">
        <v>9</v>
      </c>
      <c r="B29" s="130" t="s">
        <v>525</v>
      </c>
      <c r="C29" s="295">
        <v>0.5</v>
      </c>
      <c r="D29" s="131">
        <f t="shared" si="0"/>
        <v>11472</v>
      </c>
      <c r="E29" s="149">
        <v>9560</v>
      </c>
      <c r="F29" s="131"/>
      <c r="G29" s="131">
        <f>E29*20%</f>
        <v>1912</v>
      </c>
      <c r="H29" s="132">
        <v>50</v>
      </c>
      <c r="I29" s="295">
        <v>1.7</v>
      </c>
      <c r="J29" s="133">
        <f>((C29*D29*(H29/100+I29))*12)</f>
        <v>151430.40000000002</v>
      </c>
      <c r="K29" s="150"/>
    </row>
    <row r="30" spans="1:11" ht="13.5" customHeight="1" x14ac:dyDescent="0.25">
      <c r="A30" s="295">
        <v>10</v>
      </c>
      <c r="B30" s="130" t="s">
        <v>526</v>
      </c>
      <c r="C30" s="295">
        <v>2.2000000000000002</v>
      </c>
      <c r="D30" s="131">
        <f>E30+F30+G30</f>
        <v>11472</v>
      </c>
      <c r="E30" s="149">
        <v>9560</v>
      </c>
      <c r="F30" s="131"/>
      <c r="G30" s="131">
        <f t="shared" ref="G30:G31" si="4">E30*20%</f>
        <v>1912</v>
      </c>
      <c r="H30" s="132">
        <v>50</v>
      </c>
      <c r="I30" s="295">
        <v>1.7</v>
      </c>
      <c r="J30" s="133">
        <f t="shared" ref="J30:J31" si="5">((C30*D30*(H30/100+I30))*12)</f>
        <v>666293.76000000013</v>
      </c>
      <c r="K30" s="150"/>
    </row>
    <row r="31" spans="1:11" x14ac:dyDescent="0.25">
      <c r="A31" s="295">
        <v>11</v>
      </c>
      <c r="B31" s="130" t="s">
        <v>527</v>
      </c>
      <c r="C31" s="295">
        <v>1</v>
      </c>
      <c r="D31" s="131">
        <f t="shared" si="0"/>
        <v>11640</v>
      </c>
      <c r="E31" s="149">
        <v>9700</v>
      </c>
      <c r="F31" s="131"/>
      <c r="G31" s="131">
        <f t="shared" si="4"/>
        <v>1940</v>
      </c>
      <c r="H31" s="132">
        <v>50</v>
      </c>
      <c r="I31" s="295">
        <v>1.7</v>
      </c>
      <c r="J31" s="133">
        <f t="shared" si="5"/>
        <v>307296.00000000006</v>
      </c>
    </row>
    <row r="32" spans="1:11" ht="16.5" customHeight="1" x14ac:dyDescent="0.25">
      <c r="A32" s="134"/>
      <c r="B32" s="135" t="s">
        <v>317</v>
      </c>
      <c r="C32" s="136">
        <f>SUM(C29:C31)</f>
        <v>3.7</v>
      </c>
      <c r="D32" s="138">
        <f>SUM(D29:D31)</f>
        <v>34584</v>
      </c>
      <c r="E32" s="136" t="s">
        <v>14</v>
      </c>
      <c r="F32" s="136" t="s">
        <v>14</v>
      </c>
      <c r="G32" s="136" t="s">
        <v>14</v>
      </c>
      <c r="H32" s="136" t="s">
        <v>14</v>
      </c>
      <c r="I32" s="136" t="s">
        <v>14</v>
      </c>
      <c r="J32" s="139">
        <f>SUM(J29:J31)</f>
        <v>1125020.1600000001</v>
      </c>
      <c r="K32" s="151"/>
    </row>
    <row r="33" spans="1:12" ht="32.25" customHeight="1" x14ac:dyDescent="0.25">
      <c r="A33" s="429" t="s">
        <v>336</v>
      </c>
      <c r="B33" s="430"/>
      <c r="C33" s="430"/>
      <c r="D33" s="430"/>
      <c r="E33" s="430"/>
      <c r="F33" s="430"/>
      <c r="G33" s="430"/>
      <c r="H33" s="430"/>
      <c r="I33" s="431"/>
      <c r="J33" s="202">
        <f>(J16+J24+J27+J32)*10%</f>
        <v>1317521.71584</v>
      </c>
      <c r="K33" s="151"/>
    </row>
    <row r="34" spans="1:12" s="41" customFormat="1" ht="18" customHeight="1" x14ac:dyDescent="0.2">
      <c r="A34" s="441" t="s">
        <v>531</v>
      </c>
      <c r="B34" s="442"/>
      <c r="C34" s="442"/>
      <c r="D34" s="442"/>
      <c r="E34" s="442"/>
      <c r="F34" s="442"/>
      <c r="G34" s="442"/>
      <c r="H34" s="442"/>
      <c r="I34" s="442"/>
      <c r="J34" s="141">
        <v>6090672.9000000004</v>
      </c>
    </row>
    <row r="35" spans="1:12" s="41" customFormat="1" ht="15.75" customHeight="1" x14ac:dyDescent="0.2">
      <c r="A35" s="441" t="s">
        <v>318</v>
      </c>
      <c r="B35" s="442"/>
      <c r="C35" s="442"/>
      <c r="D35" s="442"/>
      <c r="E35" s="442"/>
      <c r="F35" s="442"/>
      <c r="G35" s="442"/>
      <c r="H35" s="442"/>
      <c r="I35" s="442"/>
      <c r="J35" s="141">
        <v>66000</v>
      </c>
    </row>
    <row r="36" spans="1:12" ht="15" customHeight="1" x14ac:dyDescent="0.25">
      <c r="A36" s="436" t="s">
        <v>604</v>
      </c>
      <c r="B36" s="437"/>
      <c r="C36" s="437"/>
      <c r="D36" s="437"/>
      <c r="E36" s="437"/>
      <c r="F36" s="437"/>
      <c r="G36" s="437"/>
      <c r="H36" s="437"/>
      <c r="I36" s="437"/>
      <c r="J36" s="437"/>
    </row>
    <row r="37" spans="1:12" ht="30" x14ac:dyDescent="0.25">
      <c r="A37" s="295">
        <v>12</v>
      </c>
      <c r="B37" s="130" t="s">
        <v>601</v>
      </c>
      <c r="C37" s="295">
        <v>0.7</v>
      </c>
      <c r="D37" s="131">
        <f>E37+F37+G37</f>
        <v>13145.220000000001</v>
      </c>
      <c r="E37" s="149">
        <v>10954.35</v>
      </c>
      <c r="F37" s="131"/>
      <c r="G37" s="131">
        <f>E37*20%</f>
        <v>2190.8700000000003</v>
      </c>
      <c r="H37" s="132">
        <v>50</v>
      </c>
      <c r="I37" s="295">
        <v>1.7</v>
      </c>
      <c r="J37" s="153">
        <f>(C37*D37*(H37/100+I37))*12</f>
        <v>242923.66560000007</v>
      </c>
      <c r="K37" s="147"/>
    </row>
    <row r="38" spans="1:12" ht="32.25" customHeight="1" x14ac:dyDescent="0.25">
      <c r="A38" s="429" t="s">
        <v>605</v>
      </c>
      <c r="B38" s="430"/>
      <c r="C38" s="430"/>
      <c r="D38" s="430"/>
      <c r="E38" s="430"/>
      <c r="F38" s="430"/>
      <c r="G38" s="430"/>
      <c r="H38" s="430"/>
      <c r="I38" s="431"/>
      <c r="J38" s="202">
        <f>J37*10%-7216.03</f>
        <v>17076.336560000011</v>
      </c>
      <c r="K38" s="151"/>
    </row>
    <row r="39" spans="1:12" x14ac:dyDescent="0.25">
      <c r="A39" s="440" t="s">
        <v>602</v>
      </c>
      <c r="B39" s="440"/>
      <c r="C39" s="90">
        <f>C16+C24+C27+C32</f>
        <v>37.42</v>
      </c>
      <c r="D39" s="91">
        <f>D16+D24+D27+D32</f>
        <v>147748.79999999999</v>
      </c>
      <c r="E39" s="90" t="s">
        <v>14</v>
      </c>
      <c r="F39" s="90" t="s">
        <v>14</v>
      </c>
      <c r="G39" s="90" t="s">
        <v>14</v>
      </c>
      <c r="H39" s="90" t="s">
        <v>14</v>
      </c>
      <c r="I39" s="90" t="s">
        <v>14</v>
      </c>
      <c r="J39" s="203">
        <f>J16+J24+J27+J32+J33+J34+J35-449248.53</f>
        <v>20200163.244240001</v>
      </c>
      <c r="K39" s="89"/>
      <c r="L39" s="89"/>
    </row>
    <row r="40" spans="1:12" x14ac:dyDescent="0.25">
      <c r="A40" s="440" t="s">
        <v>606</v>
      </c>
      <c r="B40" s="440"/>
      <c r="C40" s="90">
        <f>C37</f>
        <v>0.7</v>
      </c>
      <c r="D40" s="91">
        <f>D37</f>
        <v>13145.220000000001</v>
      </c>
      <c r="E40" s="90" t="s">
        <v>14</v>
      </c>
      <c r="F40" s="90" t="s">
        <v>14</v>
      </c>
      <c r="G40" s="90" t="s">
        <v>14</v>
      </c>
      <c r="H40" s="90" t="s">
        <v>14</v>
      </c>
      <c r="I40" s="90" t="s">
        <v>14</v>
      </c>
      <c r="J40" s="203">
        <f>J37+J38</f>
        <v>260000.00216000009</v>
      </c>
      <c r="K40" s="89"/>
      <c r="L40" s="89"/>
    </row>
    <row r="41" spans="1:12" ht="15" customHeight="1" x14ac:dyDescent="0.25">
      <c r="A41" s="411" t="s">
        <v>353</v>
      </c>
      <c r="B41" s="412"/>
      <c r="C41" s="412"/>
      <c r="D41" s="412"/>
      <c r="E41" s="412"/>
      <c r="F41" s="412"/>
      <c r="G41" s="412"/>
      <c r="H41" s="412"/>
      <c r="I41" s="412"/>
      <c r="J41" s="413"/>
    </row>
    <row r="42" spans="1:12" ht="30" customHeight="1" x14ac:dyDescent="0.25">
      <c r="A42" s="292" t="s">
        <v>1</v>
      </c>
      <c r="B42" s="427" t="s">
        <v>44</v>
      </c>
      <c r="C42" s="427"/>
      <c r="D42" s="427"/>
      <c r="E42" s="427" t="s">
        <v>45</v>
      </c>
      <c r="F42" s="427"/>
      <c r="G42" s="427" t="s">
        <v>46</v>
      </c>
      <c r="H42" s="427"/>
      <c r="I42" s="427" t="s">
        <v>102</v>
      </c>
      <c r="J42" s="427"/>
    </row>
    <row r="43" spans="1:12" ht="12.75" customHeight="1" x14ac:dyDescent="0.25">
      <c r="A43" s="293">
        <v>1</v>
      </c>
      <c r="B43" s="428">
        <v>2</v>
      </c>
      <c r="C43" s="428"/>
      <c r="D43" s="428"/>
      <c r="E43" s="428">
        <v>3</v>
      </c>
      <c r="F43" s="428"/>
      <c r="G43" s="428">
        <v>4</v>
      </c>
      <c r="H43" s="428"/>
      <c r="I43" s="428">
        <v>5</v>
      </c>
      <c r="J43" s="428"/>
    </row>
    <row r="44" spans="1:12" ht="48" customHeight="1" x14ac:dyDescent="0.25">
      <c r="A44" s="213">
        <v>1</v>
      </c>
      <c r="B44" s="414" t="s">
        <v>607</v>
      </c>
      <c r="C44" s="415"/>
      <c r="D44" s="416"/>
      <c r="E44" s="417">
        <v>2500</v>
      </c>
      <c r="F44" s="417"/>
      <c r="G44" s="418">
        <v>16</v>
      </c>
      <c r="H44" s="418"/>
      <c r="I44" s="419">
        <f>E44*G44</f>
        <v>40000</v>
      </c>
      <c r="J44" s="419"/>
    </row>
    <row r="45" spans="1:12" ht="48" customHeight="1" x14ac:dyDescent="0.25">
      <c r="A45" s="213">
        <v>2</v>
      </c>
      <c r="B45" s="414" t="s">
        <v>608</v>
      </c>
      <c r="C45" s="415"/>
      <c r="D45" s="416"/>
      <c r="E45" s="417">
        <v>2500</v>
      </c>
      <c r="F45" s="417"/>
      <c r="G45" s="418">
        <v>5</v>
      </c>
      <c r="H45" s="418"/>
      <c r="I45" s="419">
        <f>E45*G45-2500</f>
        <v>10000</v>
      </c>
      <c r="J45" s="419"/>
    </row>
    <row r="46" spans="1:12" ht="15" customHeight="1" x14ac:dyDescent="0.25">
      <c r="A46" s="420" t="s">
        <v>603</v>
      </c>
      <c r="B46" s="420"/>
      <c r="C46" s="142">
        <f>C39</f>
        <v>37.42</v>
      </c>
      <c r="D46" s="143">
        <f>D39</f>
        <v>147748.79999999999</v>
      </c>
      <c r="E46" s="144" t="s">
        <v>14</v>
      </c>
      <c r="F46" s="144" t="s">
        <v>14</v>
      </c>
      <c r="G46" s="144" t="s">
        <v>14</v>
      </c>
      <c r="H46" s="144" t="s">
        <v>14</v>
      </c>
      <c r="I46" s="144" t="s">
        <v>14</v>
      </c>
      <c r="J46" s="145">
        <f>J39+I44</f>
        <v>20240163.244240001</v>
      </c>
    </row>
    <row r="47" spans="1:12" ht="15" customHeight="1" x14ac:dyDescent="0.25">
      <c r="A47" s="420" t="s">
        <v>603</v>
      </c>
      <c r="B47" s="420"/>
      <c r="C47" s="142">
        <f>C40</f>
        <v>0.7</v>
      </c>
      <c r="D47" s="143">
        <f>D40</f>
        <v>13145.220000000001</v>
      </c>
      <c r="E47" s="144" t="s">
        <v>14</v>
      </c>
      <c r="F47" s="144" t="s">
        <v>14</v>
      </c>
      <c r="G47" s="144" t="s">
        <v>14</v>
      </c>
      <c r="H47" s="144" t="s">
        <v>14</v>
      </c>
      <c r="I47" s="144" t="s">
        <v>14</v>
      </c>
      <c r="J47" s="145">
        <f>J40+I45</f>
        <v>270000.00216000009</v>
      </c>
    </row>
    <row r="48" spans="1:12" s="41" customFormat="1" ht="34.5" customHeight="1" x14ac:dyDescent="0.25">
      <c r="A48" s="484" t="s">
        <v>354</v>
      </c>
      <c r="B48" s="484"/>
      <c r="C48" s="484"/>
      <c r="D48" s="484"/>
      <c r="E48" s="484"/>
      <c r="F48" s="484"/>
      <c r="G48" s="484"/>
      <c r="H48" s="484"/>
      <c r="I48" s="484"/>
      <c r="J48" s="484"/>
    </row>
    <row r="49" spans="1:10" ht="15" customHeight="1" x14ac:dyDescent="0.25">
      <c r="A49" s="293" t="s">
        <v>1</v>
      </c>
      <c r="B49" s="428" t="s">
        <v>15</v>
      </c>
      <c r="C49" s="428"/>
      <c r="D49" s="428"/>
      <c r="E49" s="428" t="s">
        <v>16</v>
      </c>
      <c r="F49" s="428"/>
      <c r="G49" s="293" t="s">
        <v>17</v>
      </c>
      <c r="H49" s="293" t="s">
        <v>18</v>
      </c>
      <c r="I49" s="428" t="s">
        <v>104</v>
      </c>
      <c r="J49" s="428"/>
    </row>
    <row r="50" spans="1:10" ht="15" customHeight="1" x14ac:dyDescent="0.25">
      <c r="A50" s="293">
        <v>1</v>
      </c>
      <c r="B50" s="428">
        <v>2</v>
      </c>
      <c r="C50" s="428"/>
      <c r="D50" s="428"/>
      <c r="E50" s="428">
        <v>3</v>
      </c>
      <c r="F50" s="428"/>
      <c r="G50" s="293">
        <v>4</v>
      </c>
      <c r="H50" s="293">
        <v>5</v>
      </c>
      <c r="I50" s="428">
        <v>6</v>
      </c>
      <c r="J50" s="428"/>
    </row>
    <row r="51" spans="1:10" ht="33" customHeight="1" x14ac:dyDescent="0.25">
      <c r="A51" s="411" t="s">
        <v>355</v>
      </c>
      <c r="B51" s="412"/>
      <c r="C51" s="412"/>
      <c r="D51" s="412"/>
      <c r="E51" s="412"/>
      <c r="F51" s="412"/>
      <c r="G51" s="412"/>
      <c r="H51" s="412"/>
      <c r="I51" s="412"/>
      <c r="J51" s="413"/>
    </row>
    <row r="52" spans="1:10" ht="48.75" customHeight="1" x14ac:dyDescent="0.25">
      <c r="A52" s="291" t="s">
        <v>70</v>
      </c>
      <c r="B52" s="599" t="s">
        <v>609</v>
      </c>
      <c r="C52" s="600"/>
      <c r="D52" s="601"/>
      <c r="E52" s="570">
        <v>300</v>
      </c>
      <c r="F52" s="571"/>
      <c r="G52" s="291">
        <v>50</v>
      </c>
      <c r="H52" s="291">
        <v>1</v>
      </c>
      <c r="I52" s="572">
        <f>E52*G52*H52</f>
        <v>15000</v>
      </c>
      <c r="J52" s="572"/>
    </row>
    <row r="53" spans="1:10" ht="34.5" customHeight="1" x14ac:dyDescent="0.25">
      <c r="A53" s="411" t="s">
        <v>357</v>
      </c>
      <c r="B53" s="412"/>
      <c r="C53" s="412"/>
      <c r="D53" s="412"/>
      <c r="E53" s="412"/>
      <c r="F53" s="412"/>
      <c r="G53" s="412"/>
      <c r="H53" s="412"/>
      <c r="I53" s="412"/>
      <c r="J53" s="413"/>
    </row>
    <row r="54" spans="1:10" ht="17.25" customHeight="1" x14ac:dyDescent="0.25">
      <c r="A54" s="291" t="s">
        <v>70</v>
      </c>
      <c r="B54" s="467"/>
      <c r="C54" s="468"/>
      <c r="D54" s="469"/>
      <c r="E54" s="470"/>
      <c r="F54" s="470"/>
      <c r="G54" s="152"/>
      <c r="H54" s="217"/>
      <c r="I54" s="471">
        <f>E54*G54</f>
        <v>0</v>
      </c>
      <c r="J54" s="471"/>
    </row>
    <row r="55" spans="1:10" x14ac:dyDescent="0.25">
      <c r="A55" s="411" t="s">
        <v>358</v>
      </c>
      <c r="B55" s="412"/>
      <c r="C55" s="412"/>
      <c r="D55" s="412"/>
      <c r="E55" s="412"/>
      <c r="F55" s="412"/>
      <c r="G55" s="412"/>
      <c r="H55" s="412"/>
      <c r="I55" s="412"/>
      <c r="J55" s="413"/>
    </row>
    <row r="56" spans="1:10" ht="31.5" customHeight="1" x14ac:dyDescent="0.25">
      <c r="A56" s="218" t="s">
        <v>75</v>
      </c>
      <c r="B56" s="594" t="s">
        <v>610</v>
      </c>
      <c r="C56" s="595"/>
      <c r="D56" s="596"/>
      <c r="E56" s="597">
        <v>5000</v>
      </c>
      <c r="F56" s="597"/>
      <c r="G56" s="218">
        <v>3</v>
      </c>
      <c r="H56" s="218">
        <v>1</v>
      </c>
      <c r="I56" s="598">
        <f>E56*G56*H56</f>
        <v>15000</v>
      </c>
      <c r="J56" s="598"/>
    </row>
    <row r="57" spans="1:10" ht="31.5" customHeight="1" x14ac:dyDescent="0.25">
      <c r="A57" s="218" t="s">
        <v>75</v>
      </c>
      <c r="B57" s="594" t="s">
        <v>611</v>
      </c>
      <c r="C57" s="595"/>
      <c r="D57" s="596"/>
      <c r="E57" s="597">
        <v>10000</v>
      </c>
      <c r="F57" s="597"/>
      <c r="G57" s="218">
        <v>5</v>
      </c>
      <c r="H57" s="218">
        <v>1</v>
      </c>
      <c r="I57" s="598">
        <f>E57*G57*H57</f>
        <v>50000</v>
      </c>
      <c r="J57" s="598"/>
    </row>
    <row r="58" spans="1:10" ht="25.5" customHeight="1" x14ac:dyDescent="0.25">
      <c r="A58" s="291"/>
      <c r="B58" s="535" t="s">
        <v>612</v>
      </c>
      <c r="C58" s="535"/>
      <c r="D58" s="535"/>
      <c r="E58" s="418" t="s">
        <v>14</v>
      </c>
      <c r="F58" s="418"/>
      <c r="G58" s="291" t="s">
        <v>14</v>
      </c>
      <c r="H58" s="291" t="s">
        <v>14</v>
      </c>
      <c r="I58" s="477">
        <f>I52+I54+I56+I57</f>
        <v>80000</v>
      </c>
      <c r="J58" s="477"/>
    </row>
    <row r="59" spans="1:10" ht="16.5" customHeight="1" x14ac:dyDescent="0.25">
      <c r="A59" s="489" t="s">
        <v>360</v>
      </c>
      <c r="B59" s="489"/>
      <c r="C59" s="489"/>
      <c r="D59" s="489"/>
      <c r="E59" s="489"/>
      <c r="F59" s="489"/>
      <c r="G59" s="489"/>
      <c r="H59" s="489"/>
      <c r="I59" s="489"/>
      <c r="J59" s="489"/>
    </row>
    <row r="60" spans="1:10" ht="13.5" customHeight="1" x14ac:dyDescent="0.25">
      <c r="A60" s="293" t="s">
        <v>1</v>
      </c>
      <c r="B60" s="428" t="s">
        <v>15</v>
      </c>
      <c r="C60" s="428"/>
      <c r="D60" s="428"/>
      <c r="E60" s="479" t="s">
        <v>20</v>
      </c>
      <c r="F60" s="480"/>
      <c r="G60" s="293" t="s">
        <v>21</v>
      </c>
      <c r="H60" s="293" t="s">
        <v>22</v>
      </c>
      <c r="I60" s="428" t="s">
        <v>19</v>
      </c>
      <c r="J60" s="428"/>
    </row>
    <row r="61" spans="1:10" ht="16.5" customHeight="1" x14ac:dyDescent="0.25">
      <c r="A61" s="293">
        <v>1</v>
      </c>
      <c r="B61" s="428">
        <v>2</v>
      </c>
      <c r="C61" s="428"/>
      <c r="D61" s="428"/>
      <c r="E61" s="479">
        <v>3</v>
      </c>
      <c r="F61" s="480"/>
      <c r="G61" s="293">
        <v>4</v>
      </c>
      <c r="H61" s="293">
        <v>5</v>
      </c>
      <c r="I61" s="428">
        <v>6</v>
      </c>
      <c r="J61" s="428"/>
    </row>
    <row r="62" spans="1:10" ht="17.25" customHeight="1" x14ac:dyDescent="0.25">
      <c r="A62" s="295" t="s">
        <v>70</v>
      </c>
      <c r="B62" s="421"/>
      <c r="C62" s="422"/>
      <c r="D62" s="423"/>
      <c r="E62" s="424"/>
      <c r="F62" s="425"/>
      <c r="G62" s="220"/>
      <c r="H62" s="220"/>
      <c r="I62" s="426">
        <f>E62*G62*H62</f>
        <v>0</v>
      </c>
      <c r="J62" s="426"/>
    </row>
    <row r="63" spans="1:10" x14ac:dyDescent="0.25">
      <c r="A63" s="219"/>
      <c r="B63" s="481" t="s">
        <v>13</v>
      </c>
      <c r="C63" s="481"/>
      <c r="D63" s="481"/>
      <c r="E63" s="482" t="s">
        <v>14</v>
      </c>
      <c r="F63" s="483"/>
      <c r="G63" s="291" t="s">
        <v>14</v>
      </c>
      <c r="H63" s="291" t="s">
        <v>14</v>
      </c>
      <c r="I63" s="477">
        <f>SUM(I62)</f>
        <v>0</v>
      </c>
      <c r="J63" s="478"/>
    </row>
    <row r="64" spans="1:10" s="41" customFormat="1" ht="15.75" customHeight="1" x14ac:dyDescent="0.25">
      <c r="A64" s="484" t="s">
        <v>298</v>
      </c>
      <c r="B64" s="484"/>
      <c r="C64" s="484"/>
      <c r="D64" s="484"/>
      <c r="E64" s="484"/>
      <c r="F64" s="484"/>
      <c r="G64" s="484"/>
      <c r="H64" s="484"/>
      <c r="I64" s="484"/>
      <c r="J64" s="484"/>
    </row>
    <row r="65" spans="1:11" ht="25.5" x14ac:dyDescent="0.25">
      <c r="A65" s="198" t="s">
        <v>1</v>
      </c>
      <c r="B65" s="485" t="s">
        <v>23</v>
      </c>
      <c r="C65" s="486"/>
      <c r="D65" s="486"/>
      <c r="E65" s="486"/>
      <c r="F65" s="487"/>
      <c r="G65" s="485" t="s">
        <v>24</v>
      </c>
      <c r="H65" s="487"/>
      <c r="I65" s="485" t="s">
        <v>25</v>
      </c>
      <c r="J65" s="487"/>
    </row>
    <row r="66" spans="1:11" x14ac:dyDescent="0.25">
      <c r="A66" s="288">
        <v>1</v>
      </c>
      <c r="B66" s="490">
        <v>2</v>
      </c>
      <c r="C66" s="491"/>
      <c r="D66" s="491"/>
      <c r="E66" s="491"/>
      <c r="F66" s="492"/>
      <c r="G66" s="490">
        <v>3</v>
      </c>
      <c r="H66" s="492"/>
      <c r="I66" s="490">
        <v>4</v>
      </c>
      <c r="J66" s="492"/>
    </row>
    <row r="67" spans="1:11" ht="21" customHeight="1" x14ac:dyDescent="0.25">
      <c r="A67" s="298" t="s">
        <v>70</v>
      </c>
      <c r="B67" s="472" t="s">
        <v>613</v>
      </c>
      <c r="C67" s="473"/>
      <c r="D67" s="473"/>
      <c r="E67" s="473"/>
      <c r="F67" s="474"/>
      <c r="G67" s="475" t="s">
        <v>14</v>
      </c>
      <c r="H67" s="476"/>
      <c r="I67" s="443">
        <f>I70</f>
        <v>4443586.6128000002</v>
      </c>
      <c r="J67" s="444"/>
    </row>
    <row r="68" spans="1:11" ht="13.5" customHeight="1" x14ac:dyDescent="0.25">
      <c r="A68" s="298" t="s">
        <v>70</v>
      </c>
      <c r="B68" s="472" t="s">
        <v>614</v>
      </c>
      <c r="C68" s="473"/>
      <c r="D68" s="473"/>
      <c r="E68" s="473"/>
      <c r="F68" s="474"/>
      <c r="G68" s="475" t="s">
        <v>14</v>
      </c>
      <c r="H68" s="476"/>
      <c r="I68" s="443">
        <f>I71</f>
        <v>58880</v>
      </c>
      <c r="J68" s="444"/>
    </row>
    <row r="69" spans="1:11" ht="12.75" customHeight="1" x14ac:dyDescent="0.25">
      <c r="A69" s="102"/>
      <c r="B69" s="496" t="s">
        <v>9</v>
      </c>
      <c r="C69" s="504"/>
      <c r="D69" s="504"/>
      <c r="E69" s="504"/>
      <c r="F69" s="497"/>
      <c r="G69" s="458"/>
      <c r="H69" s="459"/>
      <c r="I69" s="460"/>
      <c r="J69" s="461"/>
    </row>
    <row r="70" spans="1:11" s="41" customFormat="1" ht="15.75" customHeight="1" x14ac:dyDescent="0.25">
      <c r="A70" s="301" t="s">
        <v>27</v>
      </c>
      <c r="B70" s="566" t="s">
        <v>615</v>
      </c>
      <c r="C70" s="567"/>
      <c r="D70" s="567"/>
      <c r="E70" s="567"/>
      <c r="F70" s="568"/>
      <c r="G70" s="465">
        <v>20200163.239999998</v>
      </c>
      <c r="H70" s="466"/>
      <c r="I70" s="460">
        <f>G70*22%-10982+10532.7</f>
        <v>4443586.6128000002</v>
      </c>
      <c r="J70" s="461"/>
      <c r="K70" s="339"/>
    </row>
    <row r="71" spans="1:11" s="41" customFormat="1" x14ac:dyDescent="0.25">
      <c r="A71" s="301" t="s">
        <v>27</v>
      </c>
      <c r="B71" s="566" t="s">
        <v>616</v>
      </c>
      <c r="C71" s="567"/>
      <c r="D71" s="567"/>
      <c r="E71" s="567"/>
      <c r="F71" s="568"/>
      <c r="G71" s="465">
        <v>260000</v>
      </c>
      <c r="H71" s="466"/>
      <c r="I71" s="460">
        <f>G71*22%+500-98+1278</f>
        <v>58880</v>
      </c>
      <c r="J71" s="461"/>
      <c r="K71" s="339"/>
    </row>
    <row r="72" spans="1:11" ht="18" customHeight="1" x14ac:dyDescent="0.25">
      <c r="A72" s="301" t="s">
        <v>29</v>
      </c>
      <c r="B72" s="455" t="s">
        <v>30</v>
      </c>
      <c r="C72" s="456"/>
      <c r="D72" s="456"/>
      <c r="E72" s="456"/>
      <c r="F72" s="457"/>
      <c r="G72" s="458"/>
      <c r="H72" s="459"/>
      <c r="I72" s="460"/>
      <c r="J72" s="461"/>
    </row>
    <row r="73" spans="1:11" ht="33.75" customHeight="1" x14ac:dyDescent="0.25">
      <c r="A73" s="301" t="s">
        <v>31</v>
      </c>
      <c r="B73" s="462" t="s">
        <v>32</v>
      </c>
      <c r="C73" s="463"/>
      <c r="D73" s="463"/>
      <c r="E73" s="463"/>
      <c r="F73" s="464"/>
      <c r="G73" s="458"/>
      <c r="H73" s="459"/>
      <c r="I73" s="460"/>
      <c r="J73" s="461"/>
    </row>
    <row r="74" spans="1:11" ht="32.25" customHeight="1" x14ac:dyDescent="0.25">
      <c r="A74" s="298" t="s">
        <v>75</v>
      </c>
      <c r="B74" s="472" t="s">
        <v>617</v>
      </c>
      <c r="C74" s="473"/>
      <c r="D74" s="473"/>
      <c r="E74" s="473"/>
      <c r="F74" s="474"/>
      <c r="G74" s="475" t="s">
        <v>14</v>
      </c>
      <c r="H74" s="476"/>
      <c r="I74" s="443">
        <f>I77+I80</f>
        <v>626205.06043999991</v>
      </c>
      <c r="J74" s="444"/>
    </row>
    <row r="75" spans="1:11" ht="29.25" customHeight="1" x14ac:dyDescent="0.25">
      <c r="A75" s="298" t="s">
        <v>75</v>
      </c>
      <c r="B75" s="472" t="s">
        <v>618</v>
      </c>
      <c r="C75" s="473"/>
      <c r="D75" s="473"/>
      <c r="E75" s="473"/>
      <c r="F75" s="474"/>
      <c r="G75" s="475" t="s">
        <v>14</v>
      </c>
      <c r="H75" s="476"/>
      <c r="I75" s="443">
        <f>I78+I81</f>
        <v>8059.9999999999991</v>
      </c>
      <c r="J75" s="444"/>
    </row>
    <row r="76" spans="1:11" ht="25.5" customHeight="1" x14ac:dyDescent="0.25">
      <c r="A76" s="102"/>
      <c r="B76" s="496" t="s">
        <v>9</v>
      </c>
      <c r="C76" s="504"/>
      <c r="D76" s="504"/>
      <c r="E76" s="504"/>
      <c r="F76" s="497"/>
      <c r="G76" s="458"/>
      <c r="H76" s="459"/>
      <c r="I76" s="460"/>
      <c r="J76" s="461"/>
    </row>
    <row r="77" spans="1:11" ht="33" customHeight="1" x14ac:dyDescent="0.25">
      <c r="A77" s="301" t="s">
        <v>34</v>
      </c>
      <c r="B77" s="462" t="s">
        <v>619</v>
      </c>
      <c r="C77" s="463"/>
      <c r="D77" s="463"/>
      <c r="E77" s="463"/>
      <c r="F77" s="464"/>
      <c r="G77" s="465">
        <f>G70</f>
        <v>20200163.239999998</v>
      </c>
      <c r="H77" s="466"/>
      <c r="I77" s="460">
        <f>G77*2.9%</f>
        <v>585804.73395999987</v>
      </c>
      <c r="J77" s="461"/>
    </row>
    <row r="78" spans="1:11" ht="30" customHeight="1" x14ac:dyDescent="0.25">
      <c r="A78" s="301" t="s">
        <v>34</v>
      </c>
      <c r="B78" s="462" t="s">
        <v>620</v>
      </c>
      <c r="C78" s="463"/>
      <c r="D78" s="463"/>
      <c r="E78" s="463"/>
      <c r="F78" s="464"/>
      <c r="G78" s="465">
        <f>G71</f>
        <v>260000</v>
      </c>
      <c r="H78" s="466"/>
      <c r="I78" s="460">
        <f>G78*2.9%</f>
        <v>7539.9999999999991</v>
      </c>
      <c r="J78" s="461"/>
    </row>
    <row r="79" spans="1:11" ht="27.75" customHeight="1" x14ac:dyDescent="0.25">
      <c r="A79" s="301" t="s">
        <v>36</v>
      </c>
      <c r="B79" s="462" t="s">
        <v>37</v>
      </c>
      <c r="C79" s="463"/>
      <c r="D79" s="463"/>
      <c r="E79" s="463"/>
      <c r="F79" s="464"/>
      <c r="G79" s="458"/>
      <c r="H79" s="459"/>
      <c r="I79" s="460"/>
      <c r="J79" s="461"/>
    </row>
    <row r="80" spans="1:11" ht="32.25" customHeight="1" x14ac:dyDescent="0.25">
      <c r="A80" s="301" t="s">
        <v>38</v>
      </c>
      <c r="B80" s="462" t="s">
        <v>621</v>
      </c>
      <c r="C80" s="463"/>
      <c r="D80" s="463"/>
      <c r="E80" s="463"/>
      <c r="F80" s="464"/>
      <c r="G80" s="465">
        <f>G70</f>
        <v>20200163.239999998</v>
      </c>
      <c r="H80" s="466"/>
      <c r="I80" s="460">
        <f>G80*0.2%</f>
        <v>40400.326479999996</v>
      </c>
      <c r="J80" s="461"/>
    </row>
    <row r="81" spans="1:12" ht="36" customHeight="1" x14ac:dyDescent="0.25">
      <c r="A81" s="301" t="s">
        <v>38</v>
      </c>
      <c r="B81" s="462" t="s">
        <v>622</v>
      </c>
      <c r="C81" s="463"/>
      <c r="D81" s="463"/>
      <c r="E81" s="463"/>
      <c r="F81" s="464"/>
      <c r="G81" s="465">
        <f>G71</f>
        <v>260000</v>
      </c>
      <c r="H81" s="466"/>
      <c r="I81" s="460">
        <f>G81*0.2%</f>
        <v>520</v>
      </c>
      <c r="J81" s="461"/>
    </row>
    <row r="82" spans="1:12" s="41" customFormat="1" ht="30" customHeight="1" x14ac:dyDescent="0.25">
      <c r="A82" s="301" t="s">
        <v>40</v>
      </c>
      <c r="B82" s="462" t="s">
        <v>41</v>
      </c>
      <c r="C82" s="463"/>
      <c r="D82" s="463"/>
      <c r="E82" s="463"/>
      <c r="F82" s="464"/>
      <c r="G82" s="458"/>
      <c r="H82" s="459"/>
      <c r="I82" s="460"/>
      <c r="J82" s="461"/>
    </row>
    <row r="83" spans="1:12" ht="34.5" customHeight="1" x14ac:dyDescent="0.25">
      <c r="A83" s="301" t="s">
        <v>42</v>
      </c>
      <c r="B83" s="462" t="s">
        <v>41</v>
      </c>
      <c r="C83" s="463"/>
      <c r="D83" s="463"/>
      <c r="E83" s="463"/>
      <c r="F83" s="464"/>
      <c r="G83" s="458"/>
      <c r="H83" s="459"/>
      <c r="I83" s="460"/>
      <c r="J83" s="461"/>
    </row>
    <row r="84" spans="1:12" ht="27" customHeight="1" x14ac:dyDescent="0.25">
      <c r="A84" s="298" t="s">
        <v>77</v>
      </c>
      <c r="B84" s="472" t="s">
        <v>623</v>
      </c>
      <c r="C84" s="473"/>
      <c r="D84" s="473"/>
      <c r="E84" s="473"/>
      <c r="F84" s="474"/>
      <c r="G84" s="493">
        <f>G70</f>
        <v>20200163.239999998</v>
      </c>
      <c r="H84" s="494"/>
      <c r="I84" s="443">
        <f>G84*5.1%</f>
        <v>1030208.3252399998</v>
      </c>
      <c r="J84" s="444"/>
    </row>
    <row r="85" spans="1:12" ht="29.25" customHeight="1" x14ac:dyDescent="0.25">
      <c r="A85" s="298" t="s">
        <v>77</v>
      </c>
      <c r="B85" s="472" t="s">
        <v>624</v>
      </c>
      <c r="C85" s="473"/>
      <c r="D85" s="473"/>
      <c r="E85" s="473"/>
      <c r="F85" s="474"/>
      <c r="G85" s="493">
        <f>G71</f>
        <v>260000</v>
      </c>
      <c r="H85" s="494"/>
      <c r="I85" s="443">
        <f>G85*5.1%</f>
        <v>13260</v>
      </c>
      <c r="J85" s="444"/>
    </row>
    <row r="86" spans="1:12" x14ac:dyDescent="0.25">
      <c r="A86" s="301"/>
      <c r="B86" s="448" t="s">
        <v>625</v>
      </c>
      <c r="C86" s="449"/>
      <c r="D86" s="449"/>
      <c r="E86" s="449"/>
      <c r="F86" s="450"/>
      <c r="G86" s="451" t="s">
        <v>14</v>
      </c>
      <c r="H86" s="452"/>
      <c r="I86" s="453">
        <f>I67+I74+I84</f>
        <v>6099999.9984800005</v>
      </c>
      <c r="J86" s="454"/>
    </row>
    <row r="87" spans="1:12" ht="15" customHeight="1" x14ac:dyDescent="0.25">
      <c r="A87" s="301"/>
      <c r="B87" s="448" t="s">
        <v>626</v>
      </c>
      <c r="C87" s="449"/>
      <c r="D87" s="449"/>
      <c r="E87" s="449"/>
      <c r="F87" s="450"/>
      <c r="G87" s="451" t="s">
        <v>14</v>
      </c>
      <c r="H87" s="452"/>
      <c r="I87" s="453">
        <f>I68+I75+I85</f>
        <v>80200</v>
      </c>
      <c r="J87" s="454"/>
    </row>
    <row r="88" spans="1:12" s="41" customFormat="1" ht="15.75" customHeight="1" x14ac:dyDescent="0.25">
      <c r="A88" s="113"/>
      <c r="B88" s="445" t="s">
        <v>512</v>
      </c>
      <c r="C88" s="445"/>
      <c r="D88" s="445"/>
      <c r="E88" s="445"/>
      <c r="F88" s="445"/>
      <c r="G88" s="446" t="s">
        <v>14</v>
      </c>
      <c r="H88" s="446"/>
      <c r="I88" s="447">
        <f>I86+I87</f>
        <v>6180199.9984800005</v>
      </c>
      <c r="J88" s="447"/>
      <c r="K88" s="495"/>
      <c r="L88" s="495"/>
    </row>
    <row r="89" spans="1:12" s="41" customFormat="1" ht="28.5" customHeight="1" x14ac:dyDescent="0.2">
      <c r="A89" s="488" t="s">
        <v>502</v>
      </c>
      <c r="B89" s="488"/>
      <c r="C89" s="488"/>
      <c r="D89" s="488"/>
      <c r="E89" s="488"/>
      <c r="F89" s="488"/>
      <c r="G89" s="488"/>
      <c r="H89" s="488"/>
      <c r="I89" s="488"/>
      <c r="J89" s="488"/>
    </row>
    <row r="90" spans="1:12" ht="15" customHeight="1" x14ac:dyDescent="0.25">
      <c r="A90" s="489" t="s">
        <v>378</v>
      </c>
      <c r="B90" s="489"/>
      <c r="C90" s="489"/>
      <c r="D90" s="489"/>
      <c r="E90" s="489"/>
      <c r="F90" s="489"/>
      <c r="G90" s="489"/>
      <c r="H90" s="489"/>
      <c r="I90" s="489"/>
      <c r="J90" s="489"/>
      <c r="K90" s="11"/>
      <c r="L90" s="11"/>
    </row>
    <row r="91" spans="1:12" ht="16.5" customHeight="1" x14ac:dyDescent="0.25">
      <c r="A91" s="92" t="s">
        <v>80</v>
      </c>
      <c r="B91" s="93"/>
      <c r="C91" s="97">
        <v>321</v>
      </c>
      <c r="D91" s="97"/>
      <c r="E91" s="97"/>
      <c r="F91" s="98"/>
      <c r="G91" s="98"/>
      <c r="H91" s="98"/>
      <c r="I91" s="98"/>
      <c r="J91" s="98"/>
      <c r="K91" s="11"/>
      <c r="L91" s="11"/>
    </row>
    <row r="92" spans="1:12" ht="15.75" x14ac:dyDescent="0.25">
      <c r="A92" s="92" t="s">
        <v>81</v>
      </c>
      <c r="B92" s="93"/>
      <c r="C92" s="93"/>
      <c r="D92" s="93"/>
      <c r="E92" s="99"/>
      <c r="F92" s="100"/>
      <c r="G92" s="100"/>
      <c r="H92" s="100"/>
      <c r="I92" s="100"/>
      <c r="J92" s="100"/>
      <c r="K92" s="11"/>
      <c r="L92" s="11"/>
    </row>
    <row r="93" spans="1:12" ht="25.5" customHeight="1" x14ac:dyDescent="0.25">
      <c r="A93" s="288" t="s">
        <v>1</v>
      </c>
      <c r="B93" s="490" t="s">
        <v>44</v>
      </c>
      <c r="C93" s="491"/>
      <c r="D93" s="492"/>
      <c r="E93" s="490" t="s">
        <v>45</v>
      </c>
      <c r="F93" s="492"/>
      <c r="G93" s="490" t="s">
        <v>46</v>
      </c>
      <c r="H93" s="492"/>
      <c r="I93" s="490" t="s">
        <v>102</v>
      </c>
      <c r="J93" s="492"/>
      <c r="K93" s="11"/>
      <c r="L93" s="11"/>
    </row>
    <row r="94" spans="1:12" ht="11.25" customHeight="1" x14ac:dyDescent="0.25">
      <c r="A94" s="288">
        <v>1</v>
      </c>
      <c r="B94" s="490">
        <v>2</v>
      </c>
      <c r="C94" s="491"/>
      <c r="D94" s="492"/>
      <c r="E94" s="490">
        <v>3</v>
      </c>
      <c r="F94" s="492"/>
      <c r="G94" s="490">
        <v>4</v>
      </c>
      <c r="H94" s="492"/>
      <c r="I94" s="490">
        <v>5</v>
      </c>
      <c r="J94" s="492"/>
      <c r="K94" s="11"/>
      <c r="L94" s="11"/>
    </row>
    <row r="95" spans="1:12" ht="15.75" customHeight="1" x14ac:dyDescent="0.25">
      <c r="A95" s="290"/>
      <c r="B95" s="455"/>
      <c r="C95" s="456"/>
      <c r="D95" s="457"/>
      <c r="E95" s="496"/>
      <c r="F95" s="497"/>
      <c r="G95" s="496"/>
      <c r="H95" s="497"/>
      <c r="I95" s="496"/>
      <c r="J95" s="497"/>
    </row>
    <row r="96" spans="1:12" ht="15.75" customHeight="1" x14ac:dyDescent="0.25">
      <c r="A96" s="301"/>
      <c r="B96" s="455"/>
      <c r="C96" s="456"/>
      <c r="D96" s="457"/>
      <c r="E96" s="496"/>
      <c r="F96" s="497"/>
      <c r="G96" s="496"/>
      <c r="H96" s="497"/>
      <c r="I96" s="496"/>
      <c r="J96" s="497"/>
    </row>
    <row r="97" spans="1:12" x14ac:dyDescent="0.25">
      <c r="A97" s="301"/>
      <c r="B97" s="421"/>
      <c r="C97" s="422"/>
      <c r="D97" s="423"/>
      <c r="E97" s="496"/>
      <c r="F97" s="503"/>
      <c r="G97" s="496"/>
      <c r="H97" s="503"/>
      <c r="I97" s="496"/>
      <c r="J97" s="503"/>
    </row>
    <row r="98" spans="1:12" x14ac:dyDescent="0.25">
      <c r="A98" s="299"/>
      <c r="B98" s="448" t="s">
        <v>13</v>
      </c>
      <c r="C98" s="449"/>
      <c r="D98" s="450"/>
      <c r="E98" s="451" t="s">
        <v>14</v>
      </c>
      <c r="F98" s="452"/>
      <c r="G98" s="451" t="s">
        <v>14</v>
      </c>
      <c r="H98" s="452"/>
      <c r="I98" s="451">
        <f>SUM(I97)</f>
        <v>0</v>
      </c>
      <c r="J98" s="452"/>
    </row>
    <row r="99" spans="1:12" s="41" customFormat="1" ht="17.25" customHeight="1" x14ac:dyDescent="0.25">
      <c r="A99" s="489" t="s">
        <v>364</v>
      </c>
      <c r="B99" s="489"/>
      <c r="C99" s="489"/>
      <c r="D99" s="489"/>
      <c r="E99" s="489"/>
      <c r="F99" s="489"/>
      <c r="G99" s="489"/>
      <c r="H99" s="489"/>
      <c r="I99" s="489"/>
      <c r="J99" s="489"/>
    </row>
    <row r="100" spans="1:12" s="41" customFormat="1" ht="15" customHeight="1" x14ac:dyDescent="0.25">
      <c r="A100" s="92" t="s">
        <v>80</v>
      </c>
      <c r="B100" s="93"/>
      <c r="C100" s="97">
        <v>851</v>
      </c>
      <c r="D100" s="97">
        <v>852</v>
      </c>
      <c r="E100" s="97">
        <v>853</v>
      </c>
      <c r="F100" s="98"/>
      <c r="G100" s="98"/>
      <c r="H100" s="98"/>
      <c r="I100" s="98"/>
      <c r="J100" s="98"/>
      <c r="K100" s="42"/>
      <c r="L100" s="43"/>
    </row>
    <row r="101" spans="1:12" s="41" customFormat="1" ht="10.5" customHeight="1" x14ac:dyDescent="0.25">
      <c r="A101" s="92" t="s">
        <v>81</v>
      </c>
      <c r="B101" s="93"/>
      <c r="C101" s="93"/>
      <c r="D101" s="93"/>
      <c r="E101" s="99"/>
      <c r="F101" s="100"/>
      <c r="G101" s="100"/>
      <c r="H101" s="100"/>
      <c r="I101" s="100"/>
      <c r="J101" s="100"/>
    </row>
    <row r="102" spans="1:12" ht="36.75" customHeight="1" x14ac:dyDescent="0.25">
      <c r="A102" s="288" t="s">
        <v>1</v>
      </c>
      <c r="B102" s="402" t="s">
        <v>15</v>
      </c>
      <c r="C102" s="402"/>
      <c r="D102" s="402"/>
      <c r="E102" s="402" t="s">
        <v>47</v>
      </c>
      <c r="F102" s="402"/>
      <c r="G102" s="402" t="s">
        <v>48</v>
      </c>
      <c r="H102" s="402"/>
      <c r="I102" s="402" t="s">
        <v>103</v>
      </c>
      <c r="J102" s="402"/>
    </row>
    <row r="103" spans="1:12" ht="20.25" customHeight="1" x14ac:dyDescent="0.25">
      <c r="A103" s="288">
        <v>1</v>
      </c>
      <c r="B103" s="402">
        <v>2</v>
      </c>
      <c r="C103" s="402"/>
      <c r="D103" s="402"/>
      <c r="E103" s="402">
        <v>3</v>
      </c>
      <c r="F103" s="402"/>
      <c r="G103" s="402">
        <v>4</v>
      </c>
      <c r="H103" s="402"/>
      <c r="I103" s="402">
        <v>5</v>
      </c>
      <c r="J103" s="402"/>
    </row>
    <row r="104" spans="1:12" ht="15" customHeight="1" x14ac:dyDescent="0.25">
      <c r="A104" s="581"/>
      <c r="B104" s="583"/>
      <c r="C104" s="584"/>
      <c r="D104" s="304"/>
      <c r="E104" s="585"/>
      <c r="F104" s="585"/>
      <c r="G104" s="505"/>
      <c r="H104" s="505"/>
      <c r="I104" s="506">
        <f>E104*G104/4</f>
        <v>0</v>
      </c>
      <c r="J104" s="506"/>
    </row>
    <row r="105" spans="1:12" ht="13.5" customHeight="1" x14ac:dyDescent="0.25">
      <c r="A105" s="582"/>
      <c r="B105" s="584"/>
      <c r="C105" s="584"/>
      <c r="D105" s="305"/>
      <c r="E105" s="585"/>
      <c r="F105" s="585"/>
      <c r="G105" s="505"/>
      <c r="H105" s="505"/>
      <c r="I105" s="506">
        <f>E105*G105/4*3</f>
        <v>0</v>
      </c>
      <c r="J105" s="506"/>
    </row>
    <row r="106" spans="1:12" ht="21.75" customHeight="1" x14ac:dyDescent="0.25">
      <c r="A106" s="299"/>
      <c r="B106" s="507" t="s">
        <v>13</v>
      </c>
      <c r="C106" s="507"/>
      <c r="D106" s="507"/>
      <c r="E106" s="508" t="s">
        <v>74</v>
      </c>
      <c r="F106" s="508"/>
      <c r="G106" s="508" t="s">
        <v>14</v>
      </c>
      <c r="H106" s="508"/>
      <c r="I106" s="509"/>
      <c r="J106" s="508"/>
    </row>
    <row r="107" spans="1:12" ht="21.75" customHeight="1" x14ac:dyDescent="0.25">
      <c r="A107" s="489" t="s">
        <v>85</v>
      </c>
      <c r="B107" s="489"/>
      <c r="C107" s="489"/>
      <c r="D107" s="489"/>
      <c r="E107" s="489"/>
      <c r="F107" s="489"/>
      <c r="G107" s="489"/>
      <c r="H107" s="489"/>
      <c r="I107" s="489"/>
      <c r="J107" s="489"/>
      <c r="K107" s="495"/>
      <c r="L107" s="495"/>
    </row>
    <row r="108" spans="1:12" s="41" customFormat="1" ht="18.75" customHeight="1" x14ac:dyDescent="0.25">
      <c r="A108" s="92" t="s">
        <v>80</v>
      </c>
      <c r="B108" s="93"/>
      <c r="C108" s="97"/>
      <c r="D108" s="97"/>
      <c r="E108" s="97"/>
      <c r="F108" s="98"/>
      <c r="G108" s="98"/>
      <c r="H108" s="98"/>
      <c r="I108" s="98"/>
      <c r="J108" s="98"/>
      <c r="K108" s="42"/>
      <c r="L108" s="43"/>
    </row>
    <row r="109" spans="1:12" s="41" customFormat="1" ht="15.75" customHeight="1" x14ac:dyDescent="0.25">
      <c r="A109" s="92" t="s">
        <v>81</v>
      </c>
      <c r="B109" s="93"/>
      <c r="C109" s="93"/>
      <c r="D109" s="93"/>
      <c r="E109" s="99"/>
      <c r="F109" s="100"/>
      <c r="G109" s="100"/>
      <c r="H109" s="100"/>
      <c r="I109" s="100"/>
      <c r="J109" s="100"/>
    </row>
    <row r="110" spans="1:12" ht="12" customHeight="1" x14ac:dyDescent="0.25">
      <c r="A110" s="288" t="s">
        <v>1</v>
      </c>
      <c r="B110" s="402" t="s">
        <v>44</v>
      </c>
      <c r="C110" s="402"/>
      <c r="D110" s="402"/>
      <c r="E110" s="402" t="s">
        <v>45</v>
      </c>
      <c r="F110" s="402"/>
      <c r="G110" s="402" t="s">
        <v>46</v>
      </c>
      <c r="H110" s="402"/>
      <c r="I110" s="402" t="s">
        <v>102</v>
      </c>
      <c r="J110" s="402"/>
      <c r="K110" s="11"/>
      <c r="L110" s="11"/>
    </row>
    <row r="111" spans="1:12" ht="29.25" customHeight="1" x14ac:dyDescent="0.25">
      <c r="A111" s="288">
        <v>1</v>
      </c>
      <c r="B111" s="402">
        <v>2</v>
      </c>
      <c r="C111" s="402"/>
      <c r="D111" s="402"/>
      <c r="E111" s="402">
        <v>3</v>
      </c>
      <c r="F111" s="402"/>
      <c r="G111" s="402">
        <v>4</v>
      </c>
      <c r="H111" s="402"/>
      <c r="I111" s="402">
        <v>5</v>
      </c>
      <c r="J111" s="402"/>
      <c r="K111" s="311"/>
      <c r="L111" s="312"/>
    </row>
    <row r="112" spans="1:12" ht="19.5" customHeight="1" x14ac:dyDescent="0.25">
      <c r="A112" s="301"/>
      <c r="B112" s="496"/>
      <c r="C112" s="504"/>
      <c r="D112" s="497"/>
      <c r="E112" s="496"/>
      <c r="F112" s="497"/>
      <c r="G112" s="496"/>
      <c r="H112" s="497"/>
      <c r="I112" s="496"/>
      <c r="J112" s="497"/>
      <c r="K112" s="11"/>
      <c r="L112" s="11"/>
    </row>
    <row r="113" spans="1:13" ht="19.5" customHeight="1" x14ac:dyDescent="0.25">
      <c r="A113" s="299"/>
      <c r="B113" s="507" t="s">
        <v>13</v>
      </c>
      <c r="C113" s="507"/>
      <c r="D113" s="507"/>
      <c r="E113" s="508" t="s">
        <v>14</v>
      </c>
      <c r="F113" s="508"/>
      <c r="G113" s="508" t="s">
        <v>14</v>
      </c>
      <c r="H113" s="508"/>
      <c r="I113" s="508"/>
      <c r="J113" s="508"/>
      <c r="K113" s="11"/>
      <c r="L113" s="11"/>
    </row>
    <row r="114" spans="1:13" ht="19.5" customHeight="1" x14ac:dyDescent="0.25">
      <c r="A114" s="433" t="s">
        <v>91</v>
      </c>
      <c r="B114" s="433"/>
      <c r="C114" s="433"/>
      <c r="D114" s="433"/>
      <c r="E114" s="433"/>
      <c r="F114" s="433"/>
      <c r="G114" s="433"/>
      <c r="H114" s="433"/>
      <c r="I114" s="433"/>
      <c r="J114" s="433"/>
      <c r="K114" s="11"/>
      <c r="L114" s="11"/>
    </row>
    <row r="115" spans="1:13" ht="29.25" customHeight="1" x14ac:dyDescent="0.25">
      <c r="A115" s="92" t="s">
        <v>80</v>
      </c>
      <c r="B115" s="93"/>
      <c r="C115" s="97"/>
      <c r="D115" s="97"/>
      <c r="E115" s="97"/>
      <c r="F115" s="98"/>
      <c r="G115" s="98"/>
      <c r="H115" s="98"/>
      <c r="I115" s="98"/>
      <c r="J115" s="98"/>
      <c r="K115" s="11"/>
      <c r="L115" s="11"/>
    </row>
    <row r="116" spans="1:13" ht="14.25" customHeight="1" x14ac:dyDescent="0.25">
      <c r="A116" s="92" t="s">
        <v>81</v>
      </c>
      <c r="B116" s="93"/>
      <c r="C116" s="93"/>
      <c r="D116" s="93"/>
      <c r="E116" s="99"/>
      <c r="F116" s="100"/>
      <c r="G116" s="99"/>
      <c r="H116" s="100"/>
      <c r="I116" s="100"/>
      <c r="J116" s="100"/>
      <c r="K116" s="11"/>
      <c r="L116" s="11"/>
    </row>
    <row r="117" spans="1:13" ht="30" customHeight="1" x14ac:dyDescent="0.25">
      <c r="A117" s="288" t="s">
        <v>1</v>
      </c>
      <c r="B117" s="402" t="s">
        <v>44</v>
      </c>
      <c r="C117" s="402"/>
      <c r="D117" s="402"/>
      <c r="E117" s="402" t="s">
        <v>45</v>
      </c>
      <c r="F117" s="402"/>
      <c r="G117" s="402" t="s">
        <v>46</v>
      </c>
      <c r="H117" s="402"/>
      <c r="I117" s="402" t="s">
        <v>102</v>
      </c>
      <c r="J117" s="402"/>
      <c r="K117" s="186"/>
      <c r="L117" s="11"/>
    </row>
    <row r="118" spans="1:13" ht="17.25" customHeight="1" x14ac:dyDescent="0.25">
      <c r="A118" s="288">
        <v>1</v>
      </c>
      <c r="B118" s="402">
        <v>2</v>
      </c>
      <c r="C118" s="402"/>
      <c r="D118" s="402"/>
      <c r="E118" s="402">
        <v>3</v>
      </c>
      <c r="F118" s="402"/>
      <c r="G118" s="402">
        <v>4</v>
      </c>
      <c r="H118" s="402"/>
      <c r="I118" s="402">
        <v>5</v>
      </c>
      <c r="J118" s="402"/>
      <c r="K118" s="11"/>
      <c r="L118" s="11"/>
    </row>
    <row r="119" spans="1:13" ht="21.75" hidden="1" customHeight="1" x14ac:dyDescent="0.25">
      <c r="A119" s="301"/>
      <c r="B119" s="496"/>
      <c r="C119" s="504"/>
      <c r="D119" s="497"/>
      <c r="E119" s="496"/>
      <c r="F119" s="497"/>
      <c r="G119" s="496"/>
      <c r="H119" s="497"/>
      <c r="I119" s="496"/>
      <c r="J119" s="497"/>
      <c r="K119" s="11"/>
      <c r="L119" s="187"/>
    </row>
    <row r="120" spans="1:13" ht="15" customHeight="1" x14ac:dyDescent="0.25">
      <c r="A120" s="301"/>
      <c r="B120" s="507" t="s">
        <v>13</v>
      </c>
      <c r="C120" s="507"/>
      <c r="D120" s="507"/>
      <c r="E120" s="508" t="s">
        <v>14</v>
      </c>
      <c r="F120" s="508"/>
      <c r="G120" s="508" t="s">
        <v>14</v>
      </c>
      <c r="H120" s="508"/>
      <c r="I120" s="508"/>
      <c r="J120" s="508"/>
      <c r="K120" s="11"/>
      <c r="L120" s="11"/>
      <c r="M120" s="14"/>
    </row>
    <row r="121" spans="1:13" ht="29.25" customHeight="1" x14ac:dyDescent="0.25">
      <c r="A121" s="433" t="s">
        <v>49</v>
      </c>
      <c r="B121" s="433"/>
      <c r="C121" s="433"/>
      <c r="D121" s="433"/>
      <c r="E121" s="433"/>
      <c r="F121" s="433"/>
      <c r="G121" s="433"/>
      <c r="H121" s="433"/>
      <c r="I121" s="433"/>
      <c r="J121" s="433"/>
      <c r="K121" s="11"/>
      <c r="L121" s="11"/>
      <c r="M121" s="14"/>
    </row>
    <row r="122" spans="1:13" ht="19.5" customHeight="1" x14ac:dyDescent="0.25">
      <c r="A122" s="92" t="s">
        <v>80</v>
      </c>
      <c r="B122" s="93"/>
      <c r="C122" s="97">
        <v>244</v>
      </c>
      <c r="D122" s="97"/>
      <c r="E122" s="97"/>
      <c r="F122" s="98"/>
      <c r="G122" s="98"/>
      <c r="H122" s="98"/>
      <c r="I122" s="98"/>
      <c r="J122" s="98"/>
      <c r="K122" s="11"/>
      <c r="L122" s="11"/>
      <c r="M122" s="14"/>
    </row>
    <row r="123" spans="1:13" ht="17.25" customHeight="1" x14ac:dyDescent="0.25">
      <c r="A123" s="92" t="s">
        <v>81</v>
      </c>
      <c r="B123" s="93"/>
      <c r="C123" s="93"/>
      <c r="D123" s="93"/>
      <c r="E123" s="99"/>
      <c r="F123" s="100"/>
      <c r="G123" s="99"/>
      <c r="H123" s="100"/>
      <c r="I123" s="100"/>
      <c r="J123" s="100"/>
      <c r="K123" s="11"/>
      <c r="L123" s="11"/>
      <c r="M123" s="14"/>
    </row>
    <row r="124" spans="1:13" ht="17.25" customHeight="1" x14ac:dyDescent="0.25">
      <c r="A124" s="433" t="s">
        <v>304</v>
      </c>
      <c r="B124" s="433"/>
      <c r="C124" s="433"/>
      <c r="D124" s="433"/>
      <c r="E124" s="433"/>
      <c r="F124" s="433"/>
      <c r="G124" s="433"/>
      <c r="H124" s="433"/>
      <c r="I124" s="433"/>
      <c r="J124" s="433"/>
      <c r="K124" s="11"/>
      <c r="L124" s="11"/>
      <c r="M124" s="14"/>
    </row>
    <row r="125" spans="1:13" ht="39.75" customHeight="1" x14ac:dyDescent="0.25">
      <c r="A125" s="288" t="s">
        <v>1</v>
      </c>
      <c r="B125" s="402" t="s">
        <v>15</v>
      </c>
      <c r="C125" s="402"/>
      <c r="D125" s="402"/>
      <c r="E125" s="288" t="s">
        <v>50</v>
      </c>
      <c r="F125" s="288" t="s">
        <v>51</v>
      </c>
      <c r="G125" s="402" t="s">
        <v>52</v>
      </c>
      <c r="H125" s="402"/>
      <c r="I125" s="402" t="s">
        <v>104</v>
      </c>
      <c r="J125" s="402"/>
      <c r="K125" s="11"/>
      <c r="L125" s="11"/>
      <c r="M125" s="14"/>
    </row>
    <row r="126" spans="1:13" ht="15" customHeight="1" x14ac:dyDescent="0.25">
      <c r="A126" s="288">
        <v>1</v>
      </c>
      <c r="B126" s="402">
        <v>2</v>
      </c>
      <c r="C126" s="402"/>
      <c r="D126" s="402"/>
      <c r="E126" s="288">
        <v>3</v>
      </c>
      <c r="F126" s="288">
        <v>4</v>
      </c>
      <c r="G126" s="402">
        <v>5</v>
      </c>
      <c r="H126" s="402"/>
      <c r="I126" s="402">
        <v>6</v>
      </c>
      <c r="J126" s="402"/>
      <c r="K126" s="11"/>
      <c r="L126" s="11"/>
      <c r="M126" s="14"/>
    </row>
    <row r="127" spans="1:13" ht="18" customHeight="1" x14ac:dyDescent="0.25">
      <c r="A127" s="298">
        <v>1</v>
      </c>
      <c r="B127" s="498" t="s">
        <v>545</v>
      </c>
      <c r="C127" s="499"/>
      <c r="D127" s="500"/>
      <c r="E127" s="205" t="s">
        <v>74</v>
      </c>
      <c r="F127" s="205" t="s">
        <v>74</v>
      </c>
      <c r="G127" s="501" t="s">
        <v>74</v>
      </c>
      <c r="H127" s="501"/>
      <c r="I127" s="502">
        <f>I128+I129+I130</f>
        <v>72000</v>
      </c>
      <c r="J127" s="502"/>
      <c r="K127" s="11"/>
      <c r="L127" s="11"/>
      <c r="M127" s="14"/>
    </row>
    <row r="128" spans="1:13" x14ac:dyDescent="0.25">
      <c r="A128" s="301"/>
      <c r="B128" s="510" t="s">
        <v>547</v>
      </c>
      <c r="C128" s="510"/>
      <c r="D128" s="510"/>
      <c r="E128" s="301">
        <v>1</v>
      </c>
      <c r="F128" s="301">
        <v>10</v>
      </c>
      <c r="G128" s="513">
        <v>2000</v>
      </c>
      <c r="H128" s="513"/>
      <c r="I128" s="506">
        <f>F128*G128-2200</f>
        <v>17800</v>
      </c>
      <c r="J128" s="506"/>
      <c r="M128" s="14"/>
    </row>
    <row r="129" spans="1:14" ht="29.25" customHeight="1" x14ac:dyDescent="0.25">
      <c r="A129" s="301"/>
      <c r="B129" s="510" t="s">
        <v>96</v>
      </c>
      <c r="C129" s="510"/>
      <c r="D129" s="510"/>
      <c r="E129" s="301">
        <v>1</v>
      </c>
      <c r="F129" s="301">
        <v>1</v>
      </c>
      <c r="G129" s="511">
        <v>2400</v>
      </c>
      <c r="H129" s="511"/>
      <c r="I129" s="506">
        <f t="shared" ref="I129:I130" si="6">F129*G129</f>
        <v>2400</v>
      </c>
      <c r="J129" s="506"/>
      <c r="M129" s="14"/>
    </row>
    <row r="130" spans="1:14" x14ac:dyDescent="0.25">
      <c r="A130" s="301"/>
      <c r="B130" s="510" t="s">
        <v>548</v>
      </c>
      <c r="C130" s="510"/>
      <c r="D130" s="510"/>
      <c r="E130" s="301">
        <v>1</v>
      </c>
      <c r="F130" s="301">
        <v>7.4</v>
      </c>
      <c r="G130" s="511">
        <v>7000</v>
      </c>
      <c r="H130" s="511"/>
      <c r="I130" s="506">
        <f t="shared" si="6"/>
        <v>51800</v>
      </c>
      <c r="J130" s="506"/>
      <c r="M130" s="14"/>
    </row>
    <row r="131" spans="1:14" ht="16.5" customHeight="1" x14ac:dyDescent="0.25">
      <c r="A131" s="301"/>
      <c r="B131" s="507" t="s">
        <v>512</v>
      </c>
      <c r="C131" s="507"/>
      <c r="D131" s="507"/>
      <c r="E131" s="299" t="s">
        <v>14</v>
      </c>
      <c r="F131" s="299" t="s">
        <v>14</v>
      </c>
      <c r="G131" s="508" t="s">
        <v>14</v>
      </c>
      <c r="H131" s="508"/>
      <c r="I131" s="509">
        <f>I127</f>
        <v>72000</v>
      </c>
      <c r="J131" s="508"/>
      <c r="K131" s="146"/>
      <c r="N131" s="148"/>
    </row>
    <row r="132" spans="1:14" ht="15.75" x14ac:dyDescent="0.25">
      <c r="A132" s="101"/>
      <c r="B132" s="93"/>
      <c r="C132" s="93"/>
      <c r="D132" s="93"/>
      <c r="E132" s="93"/>
      <c r="F132" s="93"/>
      <c r="G132" s="93"/>
      <c r="H132" s="93"/>
      <c r="I132" s="93"/>
      <c r="J132" s="93"/>
      <c r="K132" s="14"/>
      <c r="M132" s="85"/>
    </row>
    <row r="133" spans="1:14" ht="15.75" x14ac:dyDescent="0.25">
      <c r="A133" s="433" t="s">
        <v>288</v>
      </c>
      <c r="B133" s="433"/>
      <c r="C133" s="433"/>
      <c r="D133" s="433"/>
      <c r="E133" s="433"/>
      <c r="F133" s="433"/>
      <c r="G133" s="433"/>
      <c r="H133" s="433"/>
      <c r="I133" s="433"/>
      <c r="J133" s="433"/>
      <c r="K133" s="14"/>
      <c r="M133" s="85"/>
    </row>
    <row r="134" spans="1:14" ht="15.75" customHeight="1" x14ac:dyDescent="0.25">
      <c r="A134" s="288" t="s">
        <v>1</v>
      </c>
      <c r="B134" s="402" t="s">
        <v>15</v>
      </c>
      <c r="C134" s="402"/>
      <c r="D134" s="402"/>
      <c r="E134" s="402" t="s">
        <v>53</v>
      </c>
      <c r="F134" s="402"/>
      <c r="G134" s="402" t="s">
        <v>54</v>
      </c>
      <c r="H134" s="402"/>
      <c r="I134" s="402" t="s">
        <v>264</v>
      </c>
      <c r="J134" s="402"/>
      <c r="K134" s="14"/>
      <c r="M134" s="85"/>
    </row>
    <row r="135" spans="1:14" ht="15" customHeight="1" x14ac:dyDescent="0.25">
      <c r="A135" s="288">
        <v>1</v>
      </c>
      <c r="B135" s="402">
        <v>2</v>
      </c>
      <c r="C135" s="402"/>
      <c r="D135" s="402"/>
      <c r="E135" s="402">
        <v>3</v>
      </c>
      <c r="F135" s="402"/>
      <c r="G135" s="402">
        <v>4</v>
      </c>
      <c r="H135" s="402"/>
      <c r="I135" s="402">
        <v>5</v>
      </c>
      <c r="J135" s="402"/>
      <c r="K135" s="14"/>
      <c r="M135" s="85"/>
    </row>
    <row r="136" spans="1:14" x14ac:dyDescent="0.25">
      <c r="A136" s="301"/>
      <c r="B136" s="414"/>
      <c r="C136" s="415"/>
      <c r="D136" s="416"/>
      <c r="E136" s="515"/>
      <c r="F136" s="515"/>
      <c r="G136" s="516"/>
      <c r="H136" s="516"/>
      <c r="I136" s="516">
        <f>E136*G136</f>
        <v>0</v>
      </c>
      <c r="J136" s="516"/>
      <c r="K136" s="14"/>
      <c r="M136" s="85"/>
    </row>
    <row r="137" spans="1:14" ht="30" customHeight="1" x14ac:dyDescent="0.25">
      <c r="A137" s="301"/>
      <c r="B137" s="507" t="s">
        <v>13</v>
      </c>
      <c r="C137" s="507"/>
      <c r="D137" s="507"/>
      <c r="E137" s="508" t="s">
        <v>74</v>
      </c>
      <c r="F137" s="508"/>
      <c r="G137" s="508" t="s">
        <v>74</v>
      </c>
      <c r="H137" s="508"/>
      <c r="I137" s="514">
        <f>I136</f>
        <v>0</v>
      </c>
      <c r="J137" s="508"/>
    </row>
    <row r="138" spans="1:14" ht="15.75" x14ac:dyDescent="0.25">
      <c r="A138" s="433" t="s">
        <v>284</v>
      </c>
      <c r="B138" s="433"/>
      <c r="C138" s="433"/>
      <c r="D138" s="433"/>
      <c r="E138" s="433"/>
      <c r="F138" s="433"/>
      <c r="G138" s="433"/>
      <c r="H138" s="433"/>
      <c r="I138" s="433"/>
      <c r="J138" s="433"/>
    </row>
    <row r="139" spans="1:14" s="41" customFormat="1" ht="38.25" x14ac:dyDescent="0.2">
      <c r="A139" s="288" t="s">
        <v>1</v>
      </c>
      <c r="B139" s="402" t="s">
        <v>44</v>
      </c>
      <c r="C139" s="402"/>
      <c r="D139" s="402"/>
      <c r="E139" s="288" t="s">
        <v>55</v>
      </c>
      <c r="F139" s="402" t="s">
        <v>56</v>
      </c>
      <c r="G139" s="402"/>
      <c r="H139" s="288" t="s">
        <v>57</v>
      </c>
      <c r="I139" s="402" t="s">
        <v>104</v>
      </c>
      <c r="J139" s="402"/>
    </row>
    <row r="140" spans="1:14" s="41" customFormat="1" ht="15.75" customHeight="1" x14ac:dyDescent="0.2">
      <c r="A140" s="288">
        <v>1</v>
      </c>
      <c r="B140" s="402">
        <v>2</v>
      </c>
      <c r="C140" s="402"/>
      <c r="D140" s="402"/>
      <c r="E140" s="288">
        <v>3</v>
      </c>
      <c r="F140" s="402">
        <v>4</v>
      </c>
      <c r="G140" s="402"/>
      <c r="H140" s="288">
        <v>5</v>
      </c>
      <c r="I140" s="402">
        <v>6</v>
      </c>
      <c r="J140" s="402"/>
    </row>
    <row r="141" spans="1:14" ht="25.5" customHeight="1" x14ac:dyDescent="0.25">
      <c r="A141" s="298" t="s">
        <v>70</v>
      </c>
      <c r="B141" s="498" t="s">
        <v>633</v>
      </c>
      <c r="C141" s="499"/>
      <c r="D141" s="500"/>
      <c r="E141" s="103">
        <f>E142+E143</f>
        <v>275</v>
      </c>
      <c r="F141" s="519"/>
      <c r="G141" s="520"/>
      <c r="H141" s="104">
        <f>F143/F142-100%</f>
        <v>3.5000412984224072E-2</v>
      </c>
      <c r="I141" s="521">
        <f>I142+I143+14-14</f>
        <v>543000</v>
      </c>
      <c r="J141" s="522"/>
      <c r="K141" s="14"/>
    </row>
    <row r="142" spans="1:14" x14ac:dyDescent="0.25">
      <c r="A142" s="301"/>
      <c r="B142" s="515" t="s">
        <v>100</v>
      </c>
      <c r="C142" s="515"/>
      <c r="D142" s="515"/>
      <c r="E142" s="300">
        <v>150</v>
      </c>
      <c r="F142" s="517">
        <v>1937.12</v>
      </c>
      <c r="G142" s="518"/>
      <c r="H142" s="301"/>
      <c r="I142" s="506">
        <f>E142*F142+618</f>
        <v>291186</v>
      </c>
      <c r="J142" s="506"/>
      <c r="K142" s="191"/>
    </row>
    <row r="143" spans="1:14" ht="15" customHeight="1" x14ac:dyDescent="0.25">
      <c r="A143" s="301"/>
      <c r="B143" s="515" t="s">
        <v>101</v>
      </c>
      <c r="C143" s="515"/>
      <c r="D143" s="515"/>
      <c r="E143" s="300">
        <v>125</v>
      </c>
      <c r="F143" s="517">
        <v>2004.92</v>
      </c>
      <c r="G143" s="518"/>
      <c r="H143" s="301"/>
      <c r="I143" s="506">
        <f>E143*F143+1199</f>
        <v>251814</v>
      </c>
      <c r="J143" s="506"/>
      <c r="K143" s="191"/>
    </row>
    <row r="144" spans="1:14" x14ac:dyDescent="0.25">
      <c r="A144" s="298" t="s">
        <v>75</v>
      </c>
      <c r="B144" s="498" t="s">
        <v>634</v>
      </c>
      <c r="C144" s="499"/>
      <c r="D144" s="500"/>
      <c r="E144" s="103">
        <f>E145+E146</f>
        <v>750</v>
      </c>
      <c r="F144" s="519"/>
      <c r="G144" s="520"/>
      <c r="H144" s="104">
        <f>F146/F145-100%</f>
        <v>3.5040944581984368E-2</v>
      </c>
      <c r="I144" s="521">
        <f>I145+I146</f>
        <v>39592</v>
      </c>
      <c r="J144" s="522"/>
      <c r="K144" s="14"/>
    </row>
    <row r="145" spans="1:11" x14ac:dyDescent="0.25">
      <c r="A145" s="301"/>
      <c r="B145" s="515" t="s">
        <v>100</v>
      </c>
      <c r="C145" s="515"/>
      <c r="D145" s="515"/>
      <c r="E145" s="300">
        <v>350</v>
      </c>
      <c r="F145" s="517">
        <v>52.51</v>
      </c>
      <c r="G145" s="518"/>
      <c r="H145" s="301"/>
      <c r="I145" s="506">
        <f>E145*F145-544.9</f>
        <v>17833.599999999999</v>
      </c>
      <c r="J145" s="506"/>
      <c r="K145" s="191">
        <f>17833.6-I145</f>
        <v>0</v>
      </c>
    </row>
    <row r="146" spans="1:11" ht="15.75" customHeight="1" x14ac:dyDescent="0.25">
      <c r="A146" s="301"/>
      <c r="B146" s="515" t="s">
        <v>101</v>
      </c>
      <c r="C146" s="515"/>
      <c r="D146" s="515"/>
      <c r="E146" s="300">
        <v>400</v>
      </c>
      <c r="F146" s="517">
        <v>54.35</v>
      </c>
      <c r="G146" s="518"/>
      <c r="H146" s="301"/>
      <c r="I146" s="506">
        <f>E146*F146+18.4</f>
        <v>21758.400000000001</v>
      </c>
      <c r="J146" s="506"/>
      <c r="K146" s="14"/>
    </row>
    <row r="147" spans="1:11" ht="17.25" customHeight="1" x14ac:dyDescent="0.25">
      <c r="A147" s="298" t="s">
        <v>77</v>
      </c>
      <c r="B147" s="498" t="s">
        <v>635</v>
      </c>
      <c r="C147" s="499"/>
      <c r="D147" s="500"/>
      <c r="E147" s="103">
        <f>E148+E149</f>
        <v>750</v>
      </c>
      <c r="F147" s="519"/>
      <c r="G147" s="520"/>
      <c r="H147" s="104">
        <f>F149/F148-100%</f>
        <v>3.461841070023608E-2</v>
      </c>
      <c r="I147" s="521">
        <f>I148+I149</f>
        <v>48408</v>
      </c>
      <c r="J147" s="522"/>
    </row>
    <row r="148" spans="1:11" ht="15.75" customHeight="1" x14ac:dyDescent="0.35">
      <c r="A148" s="301"/>
      <c r="B148" s="515" t="s">
        <v>100</v>
      </c>
      <c r="C148" s="515"/>
      <c r="D148" s="515"/>
      <c r="E148" s="300">
        <v>350</v>
      </c>
      <c r="F148" s="517">
        <v>63.55</v>
      </c>
      <c r="G148" s="518"/>
      <c r="H148" s="301"/>
      <c r="I148" s="506">
        <f>E148*F148+0.7</f>
        <v>22243.200000000001</v>
      </c>
      <c r="J148" s="506"/>
      <c r="K148" s="188"/>
    </row>
    <row r="149" spans="1:11" ht="16.5" customHeight="1" x14ac:dyDescent="0.25">
      <c r="A149" s="301"/>
      <c r="B149" s="515" t="s">
        <v>101</v>
      </c>
      <c r="C149" s="515"/>
      <c r="D149" s="515"/>
      <c r="E149" s="300">
        <v>400</v>
      </c>
      <c r="F149" s="517">
        <v>65.75</v>
      </c>
      <c r="G149" s="518"/>
      <c r="H149" s="301"/>
      <c r="I149" s="506">
        <f>E149*F149-135.2</f>
        <v>26164.799999999999</v>
      </c>
      <c r="J149" s="506"/>
      <c r="K149" s="15"/>
    </row>
    <row r="150" spans="1:11" ht="30.75" customHeight="1" x14ac:dyDescent="0.25">
      <c r="A150" s="298" t="s">
        <v>86</v>
      </c>
      <c r="B150" s="498" t="s">
        <v>636</v>
      </c>
      <c r="C150" s="499"/>
      <c r="D150" s="500"/>
      <c r="E150" s="112">
        <f>E151+E152</f>
        <v>99000</v>
      </c>
      <c r="F150" s="519"/>
      <c r="G150" s="520"/>
      <c r="H150" s="104">
        <f>F152/F151-100%</f>
        <v>0</v>
      </c>
      <c r="I150" s="521">
        <f>I151+I152</f>
        <v>642000</v>
      </c>
      <c r="J150" s="522"/>
      <c r="K150" s="14"/>
    </row>
    <row r="151" spans="1:11" ht="12.75" customHeight="1" x14ac:dyDescent="0.25">
      <c r="A151" s="301"/>
      <c r="B151" s="515" t="s">
        <v>100</v>
      </c>
      <c r="C151" s="515"/>
      <c r="D151" s="515"/>
      <c r="E151" s="306">
        <v>54000</v>
      </c>
      <c r="F151" s="517">
        <v>6.5</v>
      </c>
      <c r="G151" s="518"/>
      <c r="H151" s="301"/>
      <c r="I151" s="506">
        <f>E151*F151-600</f>
        <v>350400</v>
      </c>
      <c r="J151" s="506"/>
      <c r="K151" s="14"/>
    </row>
    <row r="152" spans="1:11" x14ac:dyDescent="0.25">
      <c r="A152" s="301"/>
      <c r="B152" s="515" t="s">
        <v>101</v>
      </c>
      <c r="C152" s="515"/>
      <c r="D152" s="515"/>
      <c r="E152" s="306">
        <v>45000</v>
      </c>
      <c r="F152" s="517">
        <v>6.5</v>
      </c>
      <c r="G152" s="518"/>
      <c r="H152" s="301"/>
      <c r="I152" s="506">
        <f>E152*F152-900</f>
        <v>291600</v>
      </c>
      <c r="J152" s="506"/>
    </row>
    <row r="153" spans="1:11" ht="15" hidden="1" customHeight="1" x14ac:dyDescent="0.25">
      <c r="A153" s="298" t="s">
        <v>87</v>
      </c>
      <c r="B153" s="498" t="s">
        <v>549</v>
      </c>
      <c r="C153" s="499"/>
      <c r="D153" s="500"/>
      <c r="E153" s="112"/>
      <c r="F153" s="519"/>
      <c r="G153" s="520"/>
      <c r="H153" s="104">
        <v>0</v>
      </c>
      <c r="I153" s="521">
        <v>100000</v>
      </c>
      <c r="J153" s="522"/>
      <c r="K153" s="148"/>
    </row>
    <row r="154" spans="1:11" ht="15" customHeight="1" x14ac:dyDescent="0.25">
      <c r="A154" s="298" t="s">
        <v>87</v>
      </c>
      <c r="B154" s="498" t="s">
        <v>627</v>
      </c>
      <c r="C154" s="499"/>
      <c r="D154" s="500"/>
      <c r="E154" s="112"/>
      <c r="F154" s="302"/>
      <c r="G154" s="303"/>
      <c r="H154" s="104"/>
      <c r="I154" s="698">
        <v>20000</v>
      </c>
      <c r="J154" s="699"/>
      <c r="K154" s="148"/>
    </row>
    <row r="155" spans="1:11" ht="15" customHeight="1" x14ac:dyDescent="0.25">
      <c r="A155" s="298" t="s">
        <v>628</v>
      </c>
      <c r="B155" s="498" t="s">
        <v>629</v>
      </c>
      <c r="C155" s="499"/>
      <c r="D155" s="500"/>
      <c r="E155" s="112"/>
      <c r="F155" s="302"/>
      <c r="G155" s="303"/>
      <c r="H155" s="104"/>
      <c r="I155" s="698">
        <v>100000</v>
      </c>
      <c r="J155" s="699"/>
      <c r="K155" s="148"/>
    </row>
    <row r="156" spans="1:11" ht="15" customHeight="1" x14ac:dyDescent="0.25">
      <c r="A156" s="298" t="s">
        <v>116</v>
      </c>
      <c r="B156" s="498" t="s">
        <v>630</v>
      </c>
      <c r="C156" s="499"/>
      <c r="D156" s="500"/>
      <c r="E156" s="112"/>
      <c r="F156" s="302"/>
      <c r="G156" s="303"/>
      <c r="H156" s="104"/>
      <c r="I156" s="698">
        <v>84000</v>
      </c>
      <c r="J156" s="699"/>
      <c r="K156" s="148"/>
    </row>
    <row r="157" spans="1:11" ht="16.5" customHeight="1" x14ac:dyDescent="0.25">
      <c r="A157" s="298" t="s">
        <v>117</v>
      </c>
      <c r="B157" s="498" t="s">
        <v>631</v>
      </c>
      <c r="C157" s="499"/>
      <c r="D157" s="500"/>
      <c r="E157" s="103">
        <f>E158</f>
        <v>7</v>
      </c>
      <c r="F157" s="519"/>
      <c r="G157" s="520"/>
      <c r="H157" s="104"/>
      <c r="I157" s="521">
        <f>I158</f>
        <v>14000</v>
      </c>
      <c r="J157" s="522"/>
      <c r="K157" s="14"/>
    </row>
    <row r="158" spans="1:11" x14ac:dyDescent="0.25">
      <c r="A158" s="301"/>
      <c r="B158" s="515" t="s">
        <v>101</v>
      </c>
      <c r="C158" s="515"/>
      <c r="D158" s="515"/>
      <c r="E158" s="300">
        <v>7</v>
      </c>
      <c r="F158" s="517">
        <v>2004.92</v>
      </c>
      <c r="G158" s="518"/>
      <c r="H158" s="301"/>
      <c r="I158" s="506">
        <f>E158*F158-34.44</f>
        <v>14000</v>
      </c>
      <c r="J158" s="506"/>
      <c r="K158" s="191"/>
    </row>
    <row r="159" spans="1:11" x14ac:dyDescent="0.25">
      <c r="A159" s="298" t="s">
        <v>118</v>
      </c>
      <c r="B159" s="498" t="s">
        <v>632</v>
      </c>
      <c r="C159" s="499"/>
      <c r="D159" s="500"/>
      <c r="E159" s="103" t="str">
        <f>E160</f>
        <v>x</v>
      </c>
      <c r="F159" s="519"/>
      <c r="G159" s="520"/>
      <c r="H159" s="104"/>
      <c r="I159" s="521">
        <v>6000</v>
      </c>
      <c r="J159" s="522"/>
      <c r="K159" s="191"/>
    </row>
    <row r="160" spans="1:11" x14ac:dyDescent="0.25">
      <c r="A160" s="301"/>
      <c r="B160" s="507" t="s">
        <v>625</v>
      </c>
      <c r="C160" s="507"/>
      <c r="D160" s="507"/>
      <c r="E160" s="299" t="s">
        <v>14</v>
      </c>
      <c r="F160" s="508" t="s">
        <v>14</v>
      </c>
      <c r="G160" s="508"/>
      <c r="H160" s="299" t="s">
        <v>14</v>
      </c>
      <c r="I160" s="509">
        <f>I141+I144+I147+I150+I154+I155+I156</f>
        <v>1477000</v>
      </c>
      <c r="J160" s="508"/>
    </row>
    <row r="161" spans="1:12" x14ac:dyDescent="0.25">
      <c r="A161" s="301"/>
      <c r="B161" s="507" t="s">
        <v>626</v>
      </c>
      <c r="C161" s="507"/>
      <c r="D161" s="507"/>
      <c r="E161" s="299" t="s">
        <v>14</v>
      </c>
      <c r="F161" s="508" t="s">
        <v>14</v>
      </c>
      <c r="G161" s="508"/>
      <c r="H161" s="299" t="s">
        <v>14</v>
      </c>
      <c r="I161" s="509">
        <f>I157+I159</f>
        <v>20000</v>
      </c>
      <c r="J161" s="508"/>
    </row>
    <row r="162" spans="1:12" s="41" customFormat="1" ht="15.75" customHeight="1" x14ac:dyDescent="0.25">
      <c r="A162" s="433" t="s">
        <v>289</v>
      </c>
      <c r="B162" s="433"/>
      <c r="C162" s="433"/>
      <c r="D162" s="433"/>
      <c r="E162" s="433"/>
      <c r="F162" s="433"/>
      <c r="G162" s="433"/>
      <c r="H162" s="433"/>
      <c r="I162" s="433"/>
      <c r="J162" s="433"/>
    </row>
    <row r="163" spans="1:12" s="41" customFormat="1" ht="15" customHeight="1" x14ac:dyDescent="0.2">
      <c r="A163" s="288" t="s">
        <v>1</v>
      </c>
      <c r="B163" s="402" t="s">
        <v>44</v>
      </c>
      <c r="C163" s="402"/>
      <c r="D163" s="402"/>
      <c r="E163" s="402" t="s">
        <v>58</v>
      </c>
      <c r="F163" s="402"/>
      <c r="G163" s="402" t="s">
        <v>59</v>
      </c>
      <c r="H163" s="402"/>
      <c r="I163" s="402" t="s">
        <v>60</v>
      </c>
      <c r="J163" s="402"/>
    </row>
    <row r="164" spans="1:12" x14ac:dyDescent="0.25">
      <c r="A164" s="288">
        <v>1</v>
      </c>
      <c r="B164" s="402">
        <v>2</v>
      </c>
      <c r="C164" s="402"/>
      <c r="D164" s="402"/>
      <c r="E164" s="402">
        <v>3</v>
      </c>
      <c r="F164" s="402"/>
      <c r="G164" s="402">
        <v>4</v>
      </c>
      <c r="H164" s="402"/>
      <c r="I164" s="402">
        <v>5</v>
      </c>
      <c r="J164" s="402"/>
      <c r="K164" s="15"/>
    </row>
    <row r="165" spans="1:12" ht="28.5" customHeight="1" x14ac:dyDescent="0.25">
      <c r="A165" s="301"/>
      <c r="B165" s="496"/>
      <c r="C165" s="504"/>
      <c r="D165" s="497"/>
      <c r="E165" s="515"/>
      <c r="F165" s="515"/>
      <c r="G165" s="515"/>
      <c r="H165" s="515"/>
      <c r="I165" s="515"/>
      <c r="J165" s="515"/>
      <c r="K165" s="14"/>
    </row>
    <row r="166" spans="1:12" ht="27.75" customHeight="1" x14ac:dyDescent="0.25">
      <c r="A166" s="299"/>
      <c r="B166" s="507" t="s">
        <v>13</v>
      </c>
      <c r="C166" s="507"/>
      <c r="D166" s="507"/>
      <c r="E166" s="508" t="s">
        <v>14</v>
      </c>
      <c r="F166" s="508"/>
      <c r="G166" s="508" t="s">
        <v>14</v>
      </c>
      <c r="H166" s="508"/>
      <c r="I166" s="508"/>
      <c r="J166" s="508"/>
    </row>
    <row r="167" spans="1:12" ht="27.75" customHeight="1" x14ac:dyDescent="0.25">
      <c r="A167" s="433" t="s">
        <v>285</v>
      </c>
      <c r="B167" s="433"/>
      <c r="C167" s="433"/>
      <c r="D167" s="433"/>
      <c r="E167" s="433"/>
      <c r="F167" s="433"/>
      <c r="G167" s="433"/>
      <c r="H167" s="433"/>
      <c r="I167" s="433"/>
      <c r="J167" s="433"/>
    </row>
    <row r="168" spans="1:12" ht="27.75" customHeight="1" x14ac:dyDescent="0.25">
      <c r="A168" s="523" t="s">
        <v>1</v>
      </c>
      <c r="B168" s="525" t="s">
        <v>15</v>
      </c>
      <c r="C168" s="526"/>
      <c r="D168" s="527"/>
      <c r="E168" s="523" t="s">
        <v>61</v>
      </c>
      <c r="F168" s="523" t="s">
        <v>62</v>
      </c>
      <c r="G168" s="402" t="s">
        <v>63</v>
      </c>
      <c r="H168" s="402"/>
      <c r="I168" s="402"/>
      <c r="J168" s="402"/>
    </row>
    <row r="169" spans="1:12" ht="15" hidden="1" customHeight="1" x14ac:dyDescent="0.25">
      <c r="A169" s="524"/>
      <c r="B169" s="528"/>
      <c r="C169" s="529"/>
      <c r="D169" s="530"/>
      <c r="E169" s="524"/>
      <c r="F169" s="524"/>
      <c r="G169" s="288" t="s">
        <v>308</v>
      </c>
      <c r="H169" s="288" t="s">
        <v>305</v>
      </c>
      <c r="I169" s="296" t="s">
        <v>306</v>
      </c>
      <c r="J169" s="288" t="s">
        <v>307</v>
      </c>
    </row>
    <row r="170" spans="1:12" ht="15" hidden="1" customHeight="1" x14ac:dyDescent="0.25">
      <c r="A170" s="288">
        <v>1</v>
      </c>
      <c r="B170" s="402">
        <v>2</v>
      </c>
      <c r="C170" s="402"/>
      <c r="D170" s="402"/>
      <c r="E170" s="288">
        <v>3</v>
      </c>
      <c r="F170" s="288">
        <v>4</v>
      </c>
      <c r="G170" s="490">
        <v>5</v>
      </c>
      <c r="H170" s="491"/>
      <c r="I170" s="491"/>
      <c r="J170" s="492"/>
    </row>
    <row r="171" spans="1:12" s="316" customFormat="1" ht="28.5" customHeight="1" x14ac:dyDescent="0.25">
      <c r="A171" s="291">
        <v>1</v>
      </c>
      <c r="B171" s="534" t="s">
        <v>550</v>
      </c>
      <c r="C171" s="534"/>
      <c r="D171" s="534"/>
      <c r="E171" s="218">
        <v>2</v>
      </c>
      <c r="F171" s="218">
        <v>1</v>
      </c>
      <c r="G171" s="291" t="s">
        <v>124</v>
      </c>
      <c r="H171" s="291">
        <v>10</v>
      </c>
      <c r="I171" s="313">
        <v>28400</v>
      </c>
      <c r="J171" s="314">
        <f>ROUND(H171*I171,0)+2053.54+3250</f>
        <v>289303.53999999998</v>
      </c>
      <c r="K171" s="315"/>
    </row>
    <row r="172" spans="1:12" s="318" customFormat="1" ht="28.5" customHeight="1" x14ac:dyDescent="0.25">
      <c r="A172" s="291">
        <v>2</v>
      </c>
      <c r="B172" s="538" t="s">
        <v>551</v>
      </c>
      <c r="C172" s="538"/>
      <c r="D172" s="538"/>
      <c r="E172" s="218">
        <v>2</v>
      </c>
      <c r="F172" s="218">
        <v>1</v>
      </c>
      <c r="G172" s="291" t="s">
        <v>124</v>
      </c>
      <c r="H172" s="291">
        <v>10</v>
      </c>
      <c r="I172" s="313">
        <v>12000</v>
      </c>
      <c r="J172" s="314">
        <f>ROUND(H172*I172,0)</f>
        <v>120000</v>
      </c>
      <c r="K172" s="317"/>
    </row>
    <row r="173" spans="1:12" s="316" customFormat="1" ht="44.25" customHeight="1" x14ac:dyDescent="0.25">
      <c r="A173" s="359">
        <v>3</v>
      </c>
      <c r="B173" s="710" t="s">
        <v>114</v>
      </c>
      <c r="C173" s="710"/>
      <c r="D173" s="710"/>
      <c r="E173" s="359">
        <v>3</v>
      </c>
      <c r="F173" s="359">
        <v>1</v>
      </c>
      <c r="G173" s="359" t="s">
        <v>124</v>
      </c>
      <c r="H173" s="359">
        <v>9</v>
      </c>
      <c r="I173" s="360">
        <v>14974.45</v>
      </c>
      <c r="J173" s="361">
        <f>ROUND(H173*I173,0)+0.46</f>
        <v>134770.46</v>
      </c>
      <c r="K173" s="315"/>
    </row>
    <row r="174" spans="1:12" s="316" customFormat="1" ht="45" customHeight="1" x14ac:dyDescent="0.25">
      <c r="A174" s="291">
        <v>4</v>
      </c>
      <c r="B174" s="538" t="s">
        <v>109</v>
      </c>
      <c r="C174" s="538"/>
      <c r="D174" s="538"/>
      <c r="E174" s="218">
        <v>1</v>
      </c>
      <c r="F174" s="218">
        <v>1</v>
      </c>
      <c r="G174" s="291" t="s">
        <v>124</v>
      </c>
      <c r="H174" s="291">
        <v>7</v>
      </c>
      <c r="I174" s="313">
        <v>750</v>
      </c>
      <c r="J174" s="314">
        <f>ROUND(H174*I174,0)</f>
        <v>5250</v>
      </c>
      <c r="K174" s="315"/>
      <c r="L174" s="362"/>
    </row>
    <row r="175" spans="1:12" s="316" customFormat="1" ht="45" customHeight="1" x14ac:dyDescent="0.25">
      <c r="A175" s="291">
        <v>5</v>
      </c>
      <c r="B175" s="538" t="s">
        <v>552</v>
      </c>
      <c r="C175" s="538"/>
      <c r="D175" s="538"/>
      <c r="E175" s="218">
        <v>1</v>
      </c>
      <c r="F175" s="218">
        <v>1</v>
      </c>
      <c r="G175" s="291" t="s">
        <v>124</v>
      </c>
      <c r="H175" s="291">
        <v>10</v>
      </c>
      <c r="I175" s="313">
        <v>750</v>
      </c>
      <c r="J175" s="314">
        <f>ROUND(H175*I175,0)</f>
        <v>7500</v>
      </c>
      <c r="K175" s="315"/>
    </row>
    <row r="176" spans="1:12" s="316" customFormat="1" ht="43.5" customHeight="1" x14ac:dyDescent="0.25">
      <c r="A176" s="291">
        <v>6</v>
      </c>
      <c r="B176" s="534" t="s">
        <v>553</v>
      </c>
      <c r="C176" s="534"/>
      <c r="D176" s="534"/>
      <c r="E176" s="218">
        <v>2</v>
      </c>
      <c r="F176" s="218">
        <v>1</v>
      </c>
      <c r="G176" s="291" t="s">
        <v>554</v>
      </c>
      <c r="H176" s="291">
        <v>3</v>
      </c>
      <c r="I176" s="313">
        <v>10000</v>
      </c>
      <c r="J176" s="314">
        <f t="shared" ref="J176:J178" si="7">ROUND(H176*I176,0)</f>
        <v>30000</v>
      </c>
      <c r="K176" s="315"/>
    </row>
    <row r="177" spans="1:12" s="320" customFormat="1" ht="32.25" customHeight="1" x14ac:dyDescent="0.25">
      <c r="A177" s="291">
        <v>7</v>
      </c>
      <c r="B177" s="534" t="s">
        <v>555</v>
      </c>
      <c r="C177" s="534"/>
      <c r="D177" s="534"/>
      <c r="E177" s="218">
        <v>1</v>
      </c>
      <c r="F177" s="218">
        <v>1</v>
      </c>
      <c r="G177" s="291" t="s">
        <v>556</v>
      </c>
      <c r="H177" s="291">
        <v>4</v>
      </c>
      <c r="I177" s="313">
        <v>6000</v>
      </c>
      <c r="J177" s="314">
        <f t="shared" si="7"/>
        <v>24000</v>
      </c>
      <c r="K177" s="319"/>
    </row>
    <row r="178" spans="1:12" s="316" customFormat="1" ht="28.5" customHeight="1" x14ac:dyDescent="0.25">
      <c r="A178" s="291">
        <v>8</v>
      </c>
      <c r="B178" s="534" t="s">
        <v>637</v>
      </c>
      <c r="C178" s="534"/>
      <c r="D178" s="534"/>
      <c r="E178" s="218">
        <v>2</v>
      </c>
      <c r="F178" s="218">
        <v>1</v>
      </c>
      <c r="G178" s="291" t="s">
        <v>554</v>
      </c>
      <c r="H178" s="291">
        <v>4</v>
      </c>
      <c r="I178" s="313">
        <v>4000</v>
      </c>
      <c r="J178" s="314">
        <f t="shared" si="7"/>
        <v>16000</v>
      </c>
      <c r="K178" s="315"/>
    </row>
    <row r="179" spans="1:12" s="316" customFormat="1" ht="29.25" customHeight="1" x14ac:dyDescent="0.25">
      <c r="A179" s="291">
        <v>9</v>
      </c>
      <c r="B179" s="534" t="s">
        <v>557</v>
      </c>
      <c r="C179" s="534"/>
      <c r="D179" s="534"/>
      <c r="E179" s="291">
        <v>1</v>
      </c>
      <c r="F179" s="291">
        <v>1</v>
      </c>
      <c r="G179" s="321" t="s">
        <v>124</v>
      </c>
      <c r="H179" s="291">
        <v>10</v>
      </c>
      <c r="I179" s="313">
        <v>7200</v>
      </c>
      <c r="J179" s="314">
        <f>ROUND(H179*I179,0)</f>
        <v>72000</v>
      </c>
      <c r="K179" s="315"/>
    </row>
    <row r="180" spans="1:12" s="316" customFormat="1" ht="29.25" customHeight="1" x14ac:dyDescent="0.25">
      <c r="A180" s="359">
        <v>10</v>
      </c>
      <c r="B180" s="710" t="s">
        <v>558</v>
      </c>
      <c r="C180" s="710"/>
      <c r="D180" s="710"/>
      <c r="E180" s="359">
        <v>1</v>
      </c>
      <c r="F180" s="359">
        <v>1</v>
      </c>
      <c r="G180" s="363" t="s">
        <v>124</v>
      </c>
      <c r="H180" s="359">
        <v>10</v>
      </c>
      <c r="I180" s="360">
        <v>1017.58</v>
      </c>
      <c r="J180" s="361">
        <f>ROUND(H180*I180,0)</f>
        <v>10176</v>
      </c>
      <c r="K180" s="315"/>
      <c r="L180" s="362"/>
    </row>
    <row r="181" spans="1:12" s="316" customFormat="1" ht="29.25" customHeight="1" x14ac:dyDescent="0.25">
      <c r="A181" s="291">
        <v>11</v>
      </c>
      <c r="B181" s="534" t="s">
        <v>559</v>
      </c>
      <c r="C181" s="534"/>
      <c r="D181" s="534"/>
      <c r="E181" s="291">
        <v>1</v>
      </c>
      <c r="F181" s="291">
        <v>1</v>
      </c>
      <c r="G181" s="321" t="s">
        <v>124</v>
      </c>
      <c r="H181" s="291">
        <v>10</v>
      </c>
      <c r="I181" s="313">
        <v>9900</v>
      </c>
      <c r="J181" s="314">
        <f>ROUND(H181*I181,0)</f>
        <v>99000</v>
      </c>
      <c r="K181" s="315"/>
    </row>
    <row r="182" spans="1:12" s="320" customFormat="1" x14ac:dyDescent="0.25">
      <c r="A182" s="291"/>
      <c r="B182" s="535" t="s">
        <v>638</v>
      </c>
      <c r="C182" s="535"/>
      <c r="D182" s="535"/>
      <c r="E182" s="291" t="s">
        <v>14</v>
      </c>
      <c r="F182" s="291"/>
      <c r="G182" s="536">
        <f>SUM(J171:J181)</f>
        <v>808000</v>
      </c>
      <c r="H182" s="537"/>
      <c r="I182" s="537"/>
      <c r="J182" s="537"/>
      <c r="K182" s="319"/>
    </row>
    <row r="183" spans="1:12" ht="15.75" customHeight="1" x14ac:dyDescent="0.25">
      <c r="A183" s="433" t="s">
        <v>290</v>
      </c>
      <c r="B183" s="433"/>
      <c r="C183" s="433"/>
      <c r="D183" s="433"/>
      <c r="E183" s="433"/>
      <c r="F183" s="433"/>
      <c r="G183" s="433"/>
      <c r="H183" s="433"/>
      <c r="I183" s="433"/>
      <c r="J183" s="433"/>
    </row>
    <row r="184" spans="1:12" ht="15" customHeight="1" x14ac:dyDescent="0.25">
      <c r="A184" s="523" t="s">
        <v>1</v>
      </c>
      <c r="B184" s="525" t="s">
        <v>15</v>
      </c>
      <c r="C184" s="526"/>
      <c r="D184" s="527"/>
      <c r="E184" s="525" t="s">
        <v>64</v>
      </c>
      <c r="F184" s="527"/>
      <c r="G184" s="402" t="s">
        <v>65</v>
      </c>
      <c r="H184" s="402"/>
      <c r="I184" s="402"/>
      <c r="J184" s="402"/>
    </row>
    <row r="185" spans="1:12" ht="18.75" customHeight="1" x14ac:dyDescent="0.25">
      <c r="A185" s="524"/>
      <c r="B185" s="528"/>
      <c r="C185" s="529"/>
      <c r="D185" s="530"/>
      <c r="E185" s="528"/>
      <c r="F185" s="530"/>
      <c r="G185" s="288" t="s">
        <v>308</v>
      </c>
      <c r="H185" s="288" t="s">
        <v>305</v>
      </c>
      <c r="I185" s="288" t="s">
        <v>306</v>
      </c>
      <c r="J185" s="288" t="s">
        <v>307</v>
      </c>
    </row>
    <row r="186" spans="1:12" x14ac:dyDescent="0.25">
      <c r="A186" s="288">
        <v>1</v>
      </c>
      <c r="B186" s="402">
        <v>2</v>
      </c>
      <c r="C186" s="402"/>
      <c r="D186" s="402"/>
      <c r="E186" s="490">
        <v>3</v>
      </c>
      <c r="F186" s="492"/>
      <c r="G186" s="402">
        <v>4</v>
      </c>
      <c r="H186" s="402"/>
      <c r="I186" s="402"/>
      <c r="J186" s="402"/>
    </row>
    <row r="187" spans="1:12" s="316" customFormat="1" ht="17.25" customHeight="1" x14ac:dyDescent="0.25">
      <c r="A187" s="359">
        <v>1</v>
      </c>
      <c r="B187" s="710" t="s">
        <v>560</v>
      </c>
      <c r="C187" s="710"/>
      <c r="D187" s="710"/>
      <c r="E187" s="696">
        <v>1</v>
      </c>
      <c r="F187" s="697"/>
      <c r="G187" s="359" t="s">
        <v>561</v>
      </c>
      <c r="H187" s="359">
        <v>13260.8</v>
      </c>
      <c r="I187" s="364">
        <v>130.15</v>
      </c>
      <c r="J187" s="361">
        <f>H187*I187</f>
        <v>1725893.1199999999</v>
      </c>
      <c r="K187" s="365"/>
    </row>
    <row r="188" spans="1:12" s="320" customFormat="1" ht="31.5" customHeight="1" x14ac:dyDescent="0.25">
      <c r="A188" s="359">
        <v>2</v>
      </c>
      <c r="B188" s="710" t="s">
        <v>562</v>
      </c>
      <c r="C188" s="710"/>
      <c r="D188" s="710"/>
      <c r="E188" s="696">
        <v>1</v>
      </c>
      <c r="F188" s="697"/>
      <c r="G188" s="359" t="s">
        <v>124</v>
      </c>
      <c r="H188" s="359">
        <v>10</v>
      </c>
      <c r="I188" s="364">
        <v>6708.23</v>
      </c>
      <c r="J188" s="361">
        <f>H188*I188</f>
        <v>67082.299999999988</v>
      </c>
      <c r="L188" s="366"/>
    </row>
    <row r="189" spans="1:12" s="320" customFormat="1" ht="28.5" customHeight="1" x14ac:dyDescent="0.25">
      <c r="A189" s="291">
        <v>3</v>
      </c>
      <c r="B189" s="534" t="s">
        <v>563</v>
      </c>
      <c r="C189" s="534"/>
      <c r="D189" s="534"/>
      <c r="E189" s="482">
        <v>1</v>
      </c>
      <c r="F189" s="483"/>
      <c r="G189" s="291" t="s">
        <v>561</v>
      </c>
      <c r="H189" s="291">
        <v>5036.8</v>
      </c>
      <c r="I189" s="331">
        <v>20</v>
      </c>
      <c r="J189" s="314">
        <f>H189*I189</f>
        <v>100736</v>
      </c>
    </row>
    <row r="190" spans="1:12" s="320" customFormat="1" ht="27" customHeight="1" x14ac:dyDescent="0.25">
      <c r="A190" s="291">
        <v>4</v>
      </c>
      <c r="B190" s="534" t="s">
        <v>564</v>
      </c>
      <c r="C190" s="534"/>
      <c r="D190" s="534"/>
      <c r="E190" s="482">
        <v>1</v>
      </c>
      <c r="F190" s="483"/>
      <c r="G190" s="291" t="s">
        <v>561</v>
      </c>
      <c r="H190" s="291">
        <v>1984</v>
      </c>
      <c r="I190" s="331">
        <v>10</v>
      </c>
      <c r="J190" s="314">
        <f t="shared" ref="J190:J194" si="8">H190*I190</f>
        <v>19840</v>
      </c>
    </row>
    <row r="191" spans="1:12" s="316" customFormat="1" ht="32.25" customHeight="1" x14ac:dyDescent="0.25">
      <c r="A191" s="359">
        <v>5</v>
      </c>
      <c r="B191" s="710" t="s">
        <v>565</v>
      </c>
      <c r="C191" s="710"/>
      <c r="D191" s="710"/>
      <c r="E191" s="696">
        <v>1</v>
      </c>
      <c r="F191" s="697"/>
      <c r="G191" s="359" t="s">
        <v>124</v>
      </c>
      <c r="H191" s="359">
        <v>10</v>
      </c>
      <c r="I191" s="364">
        <v>11366.67</v>
      </c>
      <c r="J191" s="361">
        <f>H191*I191-0.04</f>
        <v>113666.66</v>
      </c>
      <c r="K191" s="803">
        <v>109120</v>
      </c>
    </row>
    <row r="192" spans="1:12" s="316" customFormat="1" ht="42.75" customHeight="1" x14ac:dyDescent="0.25">
      <c r="A192" s="359">
        <v>6</v>
      </c>
      <c r="B192" s="710" t="s">
        <v>566</v>
      </c>
      <c r="C192" s="710"/>
      <c r="D192" s="710"/>
      <c r="E192" s="696">
        <v>1</v>
      </c>
      <c r="F192" s="697"/>
      <c r="G192" s="359" t="s">
        <v>124</v>
      </c>
      <c r="H192" s="359">
        <v>10</v>
      </c>
      <c r="I192" s="364">
        <v>2300</v>
      </c>
      <c r="J192" s="361">
        <f>H192*I192</f>
        <v>23000</v>
      </c>
      <c r="K192" s="803">
        <v>22080.12</v>
      </c>
    </row>
    <row r="193" spans="1:10" s="316" customFormat="1" ht="24" customHeight="1" x14ac:dyDescent="0.25">
      <c r="A193" s="291">
        <v>7</v>
      </c>
      <c r="B193" s="534" t="s">
        <v>137</v>
      </c>
      <c r="C193" s="534"/>
      <c r="D193" s="534"/>
      <c r="E193" s="482">
        <v>1</v>
      </c>
      <c r="F193" s="483"/>
      <c r="G193" s="291" t="s">
        <v>149</v>
      </c>
      <c r="H193" s="291">
        <v>52</v>
      </c>
      <c r="I193" s="331">
        <v>4000</v>
      </c>
      <c r="J193" s="314">
        <f>H193*I193+21.24-639.32</f>
        <v>207381.91999999998</v>
      </c>
    </row>
    <row r="194" spans="1:10" s="320" customFormat="1" ht="21" customHeight="1" x14ac:dyDescent="0.25">
      <c r="A194" s="291">
        <v>8</v>
      </c>
      <c r="B194" s="534" t="s">
        <v>138</v>
      </c>
      <c r="C194" s="534"/>
      <c r="D194" s="534"/>
      <c r="E194" s="482">
        <v>1</v>
      </c>
      <c r="F194" s="483"/>
      <c r="G194" s="291" t="s">
        <v>309</v>
      </c>
      <c r="H194" s="291">
        <v>1</v>
      </c>
      <c r="I194" s="331">
        <v>57000</v>
      </c>
      <c r="J194" s="314">
        <f t="shared" si="8"/>
        <v>57000</v>
      </c>
    </row>
    <row r="195" spans="1:10" s="320" customFormat="1" ht="27.75" customHeight="1" x14ac:dyDescent="0.25">
      <c r="A195" s="291">
        <v>9</v>
      </c>
      <c r="B195" s="534" t="s">
        <v>639</v>
      </c>
      <c r="C195" s="534"/>
      <c r="D195" s="534"/>
      <c r="E195" s="482">
        <v>1</v>
      </c>
      <c r="F195" s="483"/>
      <c r="G195" s="291" t="s">
        <v>149</v>
      </c>
      <c r="H195" s="291">
        <v>4</v>
      </c>
      <c r="I195" s="331">
        <v>2500</v>
      </c>
      <c r="J195" s="314">
        <f>I195*H195</f>
        <v>10000</v>
      </c>
    </row>
    <row r="196" spans="1:10" s="320" customFormat="1" ht="20.25" customHeight="1" x14ac:dyDescent="0.25">
      <c r="A196" s="291">
        <v>10</v>
      </c>
      <c r="B196" s="534" t="s">
        <v>140</v>
      </c>
      <c r="C196" s="534"/>
      <c r="D196" s="534"/>
      <c r="E196" s="482">
        <v>1</v>
      </c>
      <c r="F196" s="483"/>
      <c r="G196" s="291" t="s">
        <v>149</v>
      </c>
      <c r="H196" s="291">
        <v>8</v>
      </c>
      <c r="I196" s="331">
        <v>800</v>
      </c>
      <c r="J196" s="314">
        <f>H196*I196</f>
        <v>6400</v>
      </c>
    </row>
    <row r="197" spans="1:10" s="320" customFormat="1" ht="20.25" customHeight="1" x14ac:dyDescent="0.25">
      <c r="A197" s="291">
        <v>11</v>
      </c>
      <c r="B197" s="534" t="s">
        <v>567</v>
      </c>
      <c r="C197" s="534"/>
      <c r="D197" s="534"/>
      <c r="E197" s="482">
        <v>1</v>
      </c>
      <c r="F197" s="483"/>
      <c r="G197" s="291" t="s">
        <v>149</v>
      </c>
      <c r="H197" s="291">
        <v>1</v>
      </c>
      <c r="I197" s="331">
        <v>16000</v>
      </c>
      <c r="J197" s="314">
        <f>I197*H197</f>
        <v>16000</v>
      </c>
    </row>
    <row r="198" spans="1:10" s="320" customFormat="1" ht="45" customHeight="1" x14ac:dyDescent="0.25">
      <c r="A198" s="291">
        <v>12</v>
      </c>
      <c r="B198" s="534" t="s">
        <v>569</v>
      </c>
      <c r="C198" s="534"/>
      <c r="D198" s="534"/>
      <c r="E198" s="482">
        <v>1</v>
      </c>
      <c r="F198" s="483"/>
      <c r="G198" s="291" t="s">
        <v>309</v>
      </c>
      <c r="H198" s="291">
        <v>1</v>
      </c>
      <c r="I198" s="331">
        <v>24000</v>
      </c>
      <c r="J198" s="314">
        <f>H198*I198</f>
        <v>24000</v>
      </c>
    </row>
    <row r="199" spans="1:10" s="320" customFormat="1" ht="30" customHeight="1" x14ac:dyDescent="0.25">
      <c r="A199" s="291">
        <v>13</v>
      </c>
      <c r="B199" s="534" t="s">
        <v>570</v>
      </c>
      <c r="C199" s="534"/>
      <c r="D199" s="534"/>
      <c r="E199" s="482">
        <v>1</v>
      </c>
      <c r="F199" s="483"/>
      <c r="G199" s="291" t="s">
        <v>309</v>
      </c>
      <c r="H199" s="291">
        <v>1</v>
      </c>
      <c r="I199" s="331">
        <v>48000</v>
      </c>
      <c r="J199" s="314">
        <f t="shared" ref="J199:J201" si="9">H199*I199</f>
        <v>48000</v>
      </c>
    </row>
    <row r="200" spans="1:10" s="320" customFormat="1" ht="31.5" customHeight="1" x14ac:dyDescent="0.25">
      <c r="A200" s="291">
        <v>14</v>
      </c>
      <c r="B200" s="534" t="s">
        <v>571</v>
      </c>
      <c r="C200" s="534"/>
      <c r="D200" s="534"/>
      <c r="E200" s="482">
        <v>1</v>
      </c>
      <c r="F200" s="483"/>
      <c r="G200" s="291" t="s">
        <v>309</v>
      </c>
      <c r="H200" s="291">
        <v>1</v>
      </c>
      <c r="I200" s="331">
        <v>12000</v>
      </c>
      <c r="J200" s="314">
        <f>H200*I200</f>
        <v>12000</v>
      </c>
    </row>
    <row r="201" spans="1:10" s="320" customFormat="1" ht="32.25" customHeight="1" x14ac:dyDescent="0.25">
      <c r="A201" s="291">
        <v>15</v>
      </c>
      <c r="B201" s="534" t="s">
        <v>572</v>
      </c>
      <c r="C201" s="534"/>
      <c r="D201" s="534"/>
      <c r="E201" s="482">
        <v>1</v>
      </c>
      <c r="F201" s="483"/>
      <c r="G201" s="291" t="s">
        <v>309</v>
      </c>
      <c r="H201" s="291">
        <v>1</v>
      </c>
      <c r="I201" s="331">
        <v>8000</v>
      </c>
      <c r="J201" s="314">
        <f t="shared" si="9"/>
        <v>8000</v>
      </c>
    </row>
    <row r="202" spans="1:10" s="320" customFormat="1" ht="32.25" customHeight="1" x14ac:dyDescent="0.25">
      <c r="A202" s="291">
        <v>16</v>
      </c>
      <c r="B202" s="534" t="s">
        <v>640</v>
      </c>
      <c r="C202" s="534"/>
      <c r="D202" s="534"/>
      <c r="E202" s="482">
        <v>1</v>
      </c>
      <c r="F202" s="483"/>
      <c r="G202" s="291" t="s">
        <v>309</v>
      </c>
      <c r="H202" s="291">
        <v>1</v>
      </c>
      <c r="I202" s="331">
        <f>2900*12</f>
        <v>34800</v>
      </c>
      <c r="J202" s="314">
        <f>H202*I202</f>
        <v>34800</v>
      </c>
    </row>
    <row r="203" spans="1:10" s="316" customFormat="1" ht="32.25" customHeight="1" x14ac:dyDescent="0.25">
      <c r="A203" s="291">
        <v>17</v>
      </c>
      <c r="B203" s="534" t="s">
        <v>641</v>
      </c>
      <c r="C203" s="534"/>
      <c r="D203" s="534"/>
      <c r="E203" s="482">
        <v>4</v>
      </c>
      <c r="F203" s="483"/>
      <c r="G203" s="291" t="s">
        <v>309</v>
      </c>
      <c r="H203" s="291">
        <v>3</v>
      </c>
      <c r="I203" s="331">
        <v>5000</v>
      </c>
      <c r="J203" s="314">
        <f>H203*I203</f>
        <v>15000</v>
      </c>
    </row>
    <row r="204" spans="1:10" s="320" customFormat="1" ht="15.75" x14ac:dyDescent="0.25">
      <c r="A204" s="332"/>
      <c r="B204" s="685" t="s">
        <v>638</v>
      </c>
      <c r="C204" s="685"/>
      <c r="D204" s="685"/>
      <c r="E204" s="576" t="s">
        <v>14</v>
      </c>
      <c r="F204" s="577"/>
      <c r="G204" s="536">
        <f>SUM(J187:J201)</f>
        <v>2439000</v>
      </c>
      <c r="H204" s="537"/>
      <c r="I204" s="537"/>
      <c r="J204" s="537"/>
    </row>
    <row r="205" spans="1:10" s="320" customFormat="1" ht="15.75" x14ac:dyDescent="0.25">
      <c r="A205" s="332"/>
      <c r="B205" s="685" t="s">
        <v>612</v>
      </c>
      <c r="C205" s="685"/>
      <c r="D205" s="685"/>
      <c r="E205" s="576" t="s">
        <v>14</v>
      </c>
      <c r="F205" s="577"/>
      <c r="G205" s="536">
        <f>J202+J203</f>
        <v>49800</v>
      </c>
      <c r="H205" s="537"/>
      <c r="I205" s="537"/>
      <c r="J205" s="537"/>
    </row>
    <row r="206" spans="1:10" ht="15.75" x14ac:dyDescent="0.25">
      <c r="A206" s="569" t="s">
        <v>390</v>
      </c>
      <c r="B206" s="569"/>
      <c r="C206" s="569"/>
      <c r="D206" s="569"/>
      <c r="E206" s="569"/>
      <c r="F206" s="569"/>
      <c r="G206" s="569"/>
      <c r="H206" s="569"/>
      <c r="I206" s="569"/>
      <c r="J206" s="569"/>
    </row>
    <row r="207" spans="1:10" ht="25.5" x14ac:dyDescent="0.25">
      <c r="A207" s="288" t="s">
        <v>1</v>
      </c>
      <c r="B207" s="402" t="s">
        <v>44</v>
      </c>
      <c r="C207" s="402"/>
      <c r="D207" s="402"/>
      <c r="E207" s="402" t="s">
        <v>58</v>
      </c>
      <c r="F207" s="402"/>
      <c r="G207" s="402" t="s">
        <v>59</v>
      </c>
      <c r="H207" s="402"/>
      <c r="I207" s="402" t="s">
        <v>60</v>
      </c>
      <c r="J207" s="402"/>
    </row>
    <row r="208" spans="1:10" x14ac:dyDescent="0.25">
      <c r="A208" s="288">
        <v>1</v>
      </c>
      <c r="B208" s="402">
        <v>2</v>
      </c>
      <c r="C208" s="402"/>
      <c r="D208" s="402"/>
      <c r="E208" s="402">
        <v>3</v>
      </c>
      <c r="F208" s="402"/>
      <c r="G208" s="402">
        <v>4</v>
      </c>
      <c r="H208" s="402"/>
      <c r="I208" s="402">
        <v>5</v>
      </c>
      <c r="J208" s="402"/>
    </row>
    <row r="209" spans="1:11" x14ac:dyDescent="0.25">
      <c r="A209" s="301" t="s">
        <v>27</v>
      </c>
      <c r="B209" s="496"/>
      <c r="C209" s="504"/>
      <c r="D209" s="497"/>
      <c r="E209" s="515"/>
      <c r="F209" s="515"/>
      <c r="G209" s="515"/>
      <c r="H209" s="515"/>
      <c r="I209" s="515"/>
      <c r="J209" s="515"/>
    </row>
    <row r="210" spans="1:11" x14ac:dyDescent="0.25">
      <c r="A210" s="299"/>
      <c r="B210" s="507" t="s">
        <v>13</v>
      </c>
      <c r="C210" s="507"/>
      <c r="D210" s="507"/>
      <c r="E210" s="508" t="s">
        <v>14</v>
      </c>
      <c r="F210" s="508"/>
      <c r="G210" s="508" t="s">
        <v>14</v>
      </c>
      <c r="H210" s="508"/>
      <c r="I210" s="508">
        <f>I209</f>
        <v>0</v>
      </c>
      <c r="J210" s="508"/>
    </row>
    <row r="211" spans="1:11" ht="15.75" x14ac:dyDescent="0.25">
      <c r="A211" s="434" t="s">
        <v>391</v>
      </c>
      <c r="B211" s="434"/>
      <c r="C211" s="434"/>
      <c r="D211" s="434"/>
      <c r="E211" s="434"/>
      <c r="F211" s="434"/>
      <c r="G211" s="434"/>
      <c r="H211" s="434"/>
      <c r="I211" s="434"/>
      <c r="J211" s="434"/>
    </row>
    <row r="212" spans="1:11" ht="25.5" x14ac:dyDescent="0.25">
      <c r="A212" s="288" t="s">
        <v>1</v>
      </c>
      <c r="B212" s="490" t="s">
        <v>15</v>
      </c>
      <c r="C212" s="491"/>
      <c r="D212" s="492"/>
      <c r="E212" s="490" t="s">
        <v>58</v>
      </c>
      <c r="F212" s="492"/>
      <c r="G212" s="490" t="s">
        <v>66</v>
      </c>
      <c r="H212" s="492"/>
      <c r="I212" s="490" t="s">
        <v>264</v>
      </c>
      <c r="J212" s="492"/>
    </row>
    <row r="213" spans="1:11" x14ac:dyDescent="0.25">
      <c r="A213" s="288">
        <v>1</v>
      </c>
      <c r="B213" s="490">
        <v>2</v>
      </c>
      <c r="C213" s="491"/>
      <c r="D213" s="492"/>
      <c r="E213" s="490">
        <v>3</v>
      </c>
      <c r="F213" s="492"/>
      <c r="G213" s="490">
        <v>4</v>
      </c>
      <c r="H213" s="492"/>
      <c r="I213" s="490">
        <v>5</v>
      </c>
      <c r="J213" s="492"/>
    </row>
    <row r="214" spans="1:11" s="93" customFormat="1" x14ac:dyDescent="0.25">
      <c r="A214" s="298" t="s">
        <v>70</v>
      </c>
      <c r="B214" s="498" t="s">
        <v>384</v>
      </c>
      <c r="C214" s="499"/>
      <c r="D214" s="500"/>
      <c r="E214" s="107"/>
      <c r="F214" s="107"/>
      <c r="G214" s="475"/>
      <c r="H214" s="476"/>
      <c r="I214" s="565">
        <f>I215+I216</f>
        <v>475000</v>
      </c>
      <c r="J214" s="564"/>
    </row>
    <row r="215" spans="1:11" s="93" customFormat="1" ht="15.75" x14ac:dyDescent="0.25">
      <c r="A215" s="367">
        <v>1</v>
      </c>
      <c r="B215" s="700" t="s">
        <v>642</v>
      </c>
      <c r="C215" s="701"/>
      <c r="D215" s="702"/>
      <c r="E215" s="703">
        <v>20</v>
      </c>
      <c r="F215" s="704"/>
      <c r="G215" s="688">
        <v>4000</v>
      </c>
      <c r="H215" s="689"/>
      <c r="I215" s="688">
        <f>E215*G215</f>
        <v>80000</v>
      </c>
      <c r="J215" s="689"/>
    </row>
    <row r="216" spans="1:11" s="93" customFormat="1" ht="50.25" customHeight="1" x14ac:dyDescent="0.25">
      <c r="A216" s="129">
        <v>2</v>
      </c>
      <c r="B216" s="705" t="s">
        <v>643</v>
      </c>
      <c r="C216" s="706"/>
      <c r="D216" s="707"/>
      <c r="E216" s="690" t="s">
        <v>74</v>
      </c>
      <c r="F216" s="691"/>
      <c r="G216" s="690" t="s">
        <v>74</v>
      </c>
      <c r="H216" s="691"/>
      <c r="I216" s="692">
        <v>395000</v>
      </c>
      <c r="J216" s="693"/>
    </row>
    <row r="217" spans="1:11" s="320" customFormat="1" ht="15.75" x14ac:dyDescent="0.25">
      <c r="A217" s="367"/>
      <c r="B217" s="708" t="s">
        <v>638</v>
      </c>
      <c r="C217" s="708"/>
      <c r="D217" s="708"/>
      <c r="E217" s="709"/>
      <c r="F217" s="709"/>
      <c r="G217" s="694"/>
      <c r="H217" s="694"/>
      <c r="I217" s="695">
        <f>I216+I215</f>
        <v>475000</v>
      </c>
      <c r="J217" s="695"/>
      <c r="K217" s="319"/>
    </row>
    <row r="218" spans="1:11" ht="15.75" x14ac:dyDescent="0.25">
      <c r="A218" s="540" t="s">
        <v>392</v>
      </c>
      <c r="B218" s="540"/>
      <c r="C218" s="540"/>
      <c r="D218" s="540"/>
      <c r="E218" s="540"/>
      <c r="F218" s="540"/>
      <c r="G218" s="540"/>
      <c r="H218" s="540"/>
      <c r="I218" s="540"/>
      <c r="J218" s="540"/>
    </row>
    <row r="219" spans="1:11" ht="15.75" x14ac:dyDescent="0.25">
      <c r="A219" s="593"/>
      <c r="B219" s="593"/>
      <c r="C219" s="593"/>
      <c r="D219" s="593"/>
      <c r="E219" s="593"/>
      <c r="F219" s="593"/>
      <c r="G219" s="593"/>
      <c r="H219" s="593"/>
      <c r="I219" s="593"/>
      <c r="J219" s="593"/>
    </row>
    <row r="220" spans="1:11" ht="25.5" x14ac:dyDescent="0.25">
      <c r="A220" s="288" t="s">
        <v>1</v>
      </c>
      <c r="B220" s="402" t="s">
        <v>15</v>
      </c>
      <c r="C220" s="402"/>
      <c r="D220" s="402"/>
      <c r="E220" s="402" t="s">
        <v>58</v>
      </c>
      <c r="F220" s="402"/>
      <c r="G220" s="402" t="s">
        <v>66</v>
      </c>
      <c r="H220" s="402"/>
      <c r="I220" s="402" t="s">
        <v>264</v>
      </c>
      <c r="J220" s="402"/>
    </row>
    <row r="221" spans="1:11" x14ac:dyDescent="0.25">
      <c r="A221" s="288">
        <v>1</v>
      </c>
      <c r="B221" s="402">
        <v>2</v>
      </c>
      <c r="C221" s="402"/>
      <c r="D221" s="402"/>
      <c r="E221" s="402">
        <v>3</v>
      </c>
      <c r="F221" s="402"/>
      <c r="G221" s="402">
        <v>4</v>
      </c>
      <c r="H221" s="402"/>
      <c r="I221" s="402">
        <v>5</v>
      </c>
      <c r="J221" s="402"/>
    </row>
    <row r="222" spans="1:11" s="46" customFormat="1" ht="15.75" x14ac:dyDescent="0.25">
      <c r="A222" s="562" t="s">
        <v>365</v>
      </c>
      <c r="B222" s="562"/>
      <c r="C222" s="562"/>
      <c r="D222" s="562"/>
      <c r="E222" s="562"/>
      <c r="F222" s="562"/>
      <c r="G222" s="562"/>
      <c r="H222" s="562"/>
      <c r="I222" s="562"/>
      <c r="J222" s="562"/>
    </row>
    <row r="223" spans="1:11" s="45" customFormat="1" x14ac:dyDescent="0.25">
      <c r="A223" s="298">
        <v>1</v>
      </c>
      <c r="B223" s="498" t="s">
        <v>646</v>
      </c>
      <c r="C223" s="499"/>
      <c r="D223" s="500"/>
      <c r="E223" s="107"/>
      <c r="F223" s="107"/>
      <c r="G223" s="475"/>
      <c r="H223" s="476"/>
      <c r="I223" s="563">
        <f>SUM(I224:J225)</f>
        <v>80000</v>
      </c>
      <c r="J223" s="564"/>
    </row>
    <row r="224" spans="1:11" s="46" customFormat="1" x14ac:dyDescent="0.25">
      <c r="A224" s="301" t="s">
        <v>27</v>
      </c>
      <c r="B224" s="555" t="s">
        <v>573</v>
      </c>
      <c r="C224" s="555"/>
      <c r="D224" s="555"/>
      <c r="E224" s="236"/>
      <c r="F224" s="237"/>
      <c r="G224" s="556"/>
      <c r="H224" s="556"/>
      <c r="I224" s="557">
        <v>40000</v>
      </c>
      <c r="J224" s="558"/>
    </row>
    <row r="225" spans="1:11" s="45" customFormat="1" x14ac:dyDescent="0.25">
      <c r="A225" s="301" t="s">
        <v>29</v>
      </c>
      <c r="B225" s="555" t="s">
        <v>574</v>
      </c>
      <c r="C225" s="555"/>
      <c r="D225" s="555"/>
      <c r="E225" s="236"/>
      <c r="F225" s="237"/>
      <c r="G225" s="556"/>
      <c r="H225" s="556"/>
      <c r="I225" s="557">
        <v>40000</v>
      </c>
      <c r="J225" s="558"/>
    </row>
    <row r="226" spans="1:11" s="45" customFormat="1" x14ac:dyDescent="0.25">
      <c r="A226" s="109"/>
      <c r="B226" s="507" t="s">
        <v>638</v>
      </c>
      <c r="C226" s="507"/>
      <c r="D226" s="507"/>
      <c r="E226" s="108"/>
      <c r="F226" s="300"/>
      <c r="G226" s="552"/>
      <c r="H226" s="552"/>
      <c r="I226" s="559">
        <f>I223</f>
        <v>80000</v>
      </c>
      <c r="J226" s="454"/>
    </row>
    <row r="227" spans="1:11" s="45" customFormat="1" ht="15.75" x14ac:dyDescent="0.25">
      <c r="A227" s="539" t="s">
        <v>393</v>
      </c>
      <c r="B227" s="539"/>
      <c r="C227" s="539"/>
      <c r="D227" s="539"/>
      <c r="E227" s="539"/>
      <c r="F227" s="539"/>
      <c r="G227" s="539"/>
      <c r="H227" s="539"/>
      <c r="I227" s="539"/>
      <c r="J227" s="539"/>
    </row>
    <row r="228" spans="1:11" x14ac:dyDescent="0.25">
      <c r="A228" s="523" t="s">
        <v>1</v>
      </c>
      <c r="B228" s="525" t="s">
        <v>15</v>
      </c>
      <c r="C228" s="526"/>
      <c r="D228" s="527"/>
      <c r="E228" s="525" t="s">
        <v>64</v>
      </c>
      <c r="F228" s="527"/>
      <c r="G228" s="402" t="s">
        <v>65</v>
      </c>
      <c r="H228" s="402"/>
      <c r="I228" s="402"/>
      <c r="J228" s="402"/>
    </row>
    <row r="229" spans="1:11" ht="25.5" x14ac:dyDescent="0.25">
      <c r="A229" s="524"/>
      <c r="B229" s="528"/>
      <c r="C229" s="529"/>
      <c r="D229" s="530"/>
      <c r="E229" s="528"/>
      <c r="F229" s="530"/>
      <c r="G229" s="288" t="s">
        <v>308</v>
      </c>
      <c r="H229" s="288" t="s">
        <v>305</v>
      </c>
      <c r="I229" s="288" t="s">
        <v>306</v>
      </c>
      <c r="J229" s="288" t="s">
        <v>307</v>
      </c>
    </row>
    <row r="230" spans="1:11" x14ac:dyDescent="0.25">
      <c r="A230" s="288">
        <v>1</v>
      </c>
      <c r="B230" s="402">
        <v>2</v>
      </c>
      <c r="C230" s="402"/>
      <c r="D230" s="402"/>
      <c r="E230" s="490">
        <v>3</v>
      </c>
      <c r="F230" s="492"/>
      <c r="G230" s="402">
        <v>4</v>
      </c>
      <c r="H230" s="402"/>
      <c r="I230" s="402"/>
      <c r="J230" s="402"/>
    </row>
    <row r="231" spans="1:11" x14ac:dyDescent="0.25">
      <c r="A231" s="301" t="s">
        <v>70</v>
      </c>
      <c r="B231" s="510"/>
      <c r="C231" s="510"/>
      <c r="D231" s="510"/>
      <c r="E231" s="496"/>
      <c r="F231" s="497"/>
      <c r="G231" s="301"/>
      <c r="H231" s="301"/>
      <c r="I231" s="105"/>
      <c r="J231" s="128">
        <v>0</v>
      </c>
    </row>
    <row r="232" spans="1:11" ht="15.75" x14ac:dyDescent="0.25">
      <c r="A232" s="106"/>
      <c r="B232" s="586" t="s">
        <v>13</v>
      </c>
      <c r="C232" s="586"/>
      <c r="D232" s="586"/>
      <c r="E232" s="587" t="s">
        <v>14</v>
      </c>
      <c r="F232" s="588"/>
      <c r="G232" s="589">
        <f>SUM(J231:J231)</f>
        <v>0</v>
      </c>
      <c r="H232" s="590"/>
      <c r="I232" s="590"/>
      <c r="J232" s="590"/>
    </row>
    <row r="233" spans="1:11" x14ac:dyDescent="0.25">
      <c r="A233" s="93"/>
      <c r="B233" s="93"/>
      <c r="C233" s="93"/>
      <c r="D233" s="93"/>
      <c r="E233" s="93"/>
      <c r="F233" s="93"/>
      <c r="G233" s="93"/>
      <c r="H233" s="93"/>
      <c r="I233" s="93"/>
      <c r="J233" s="93"/>
    </row>
    <row r="234" spans="1:11" x14ac:dyDescent="0.25">
      <c r="A234" s="93"/>
      <c r="B234" s="93"/>
      <c r="C234" s="93"/>
      <c r="D234" s="93"/>
      <c r="E234" s="93"/>
      <c r="F234" s="93"/>
      <c r="G234" s="93"/>
      <c r="H234" s="110" t="s">
        <v>212</v>
      </c>
      <c r="I234" s="560">
        <f>I236+J237</f>
        <v>32191163.244880002</v>
      </c>
      <c r="J234" s="560"/>
    </row>
    <row r="235" spans="1:11" x14ac:dyDescent="0.25">
      <c r="A235" s="93"/>
      <c r="B235" s="93"/>
      <c r="C235" s="93"/>
      <c r="D235" s="93"/>
      <c r="E235" s="93"/>
      <c r="F235" s="93"/>
      <c r="G235" s="93"/>
      <c r="H235" s="111" t="s">
        <v>248</v>
      </c>
      <c r="I235" s="93"/>
      <c r="J235" s="93"/>
    </row>
    <row r="236" spans="1:11" x14ac:dyDescent="0.25">
      <c r="A236" s="93"/>
      <c r="B236" s="93"/>
      <c r="C236" s="93"/>
      <c r="D236" s="93"/>
      <c r="E236" s="93"/>
      <c r="F236" s="93"/>
      <c r="G236" s="93"/>
      <c r="H236" s="111" t="s">
        <v>644</v>
      </c>
      <c r="I236" s="561">
        <f>I226+I217+G204+G182+I160+I131+I86+J46</f>
        <v>31691163.24272</v>
      </c>
      <c r="J236" s="561"/>
      <c r="K236" s="148"/>
    </row>
    <row r="237" spans="1:11" x14ac:dyDescent="0.25">
      <c r="A237" s="93"/>
      <c r="B237" s="93"/>
      <c r="C237" s="93"/>
      <c r="D237" s="93"/>
      <c r="E237" s="93"/>
      <c r="F237" s="93"/>
      <c r="G237" s="93"/>
      <c r="H237" s="111" t="s">
        <v>645</v>
      </c>
      <c r="I237" s="93"/>
      <c r="J237" s="126">
        <f>G205+I161+I87+I58+J47</f>
        <v>500000.00216000009</v>
      </c>
    </row>
    <row r="238" spans="1:11" s="119" customFormat="1" x14ac:dyDescent="0.25">
      <c r="A238" s="406" t="s">
        <v>514</v>
      </c>
      <c r="B238" s="406"/>
      <c r="C238" s="406"/>
      <c r="D238" s="116"/>
      <c r="E238" s="116"/>
      <c r="F238" s="117" t="s">
        <v>690</v>
      </c>
      <c r="G238" s="118"/>
      <c r="H238" s="118"/>
    </row>
    <row r="239" spans="1:11" s="119" customFormat="1" ht="12.75" x14ac:dyDescent="0.2">
      <c r="A239" s="120"/>
      <c r="B239" s="120"/>
      <c r="C239" s="120"/>
      <c r="D239" s="407" t="s">
        <v>281</v>
      </c>
      <c r="E239" s="407"/>
      <c r="F239" s="271" t="s">
        <v>282</v>
      </c>
      <c r="G239" s="271"/>
      <c r="H239" s="271"/>
    </row>
    <row r="240" spans="1:11" s="121" customFormat="1" x14ac:dyDescent="0.25">
      <c r="A240" s="406" t="s">
        <v>262</v>
      </c>
      <c r="B240" s="406"/>
      <c r="C240" s="406"/>
      <c r="D240" s="116"/>
      <c r="E240" s="116"/>
      <c r="F240" s="117" t="s">
        <v>509</v>
      </c>
      <c r="G240" s="117"/>
      <c r="H240" s="117"/>
    </row>
    <row r="241" spans="1:10" s="119" customFormat="1" ht="12.75" x14ac:dyDescent="0.2">
      <c r="A241" s="120"/>
      <c r="B241" s="120"/>
      <c r="C241" s="120"/>
      <c r="D241" s="407" t="s">
        <v>281</v>
      </c>
      <c r="E241" s="407"/>
      <c r="F241" s="271" t="s">
        <v>282</v>
      </c>
      <c r="G241" s="271"/>
      <c r="H241" s="271"/>
    </row>
    <row r="242" spans="1:10" s="121" customFormat="1" x14ac:dyDescent="0.25">
      <c r="A242" s="406" t="s">
        <v>374</v>
      </c>
      <c r="B242" s="406"/>
      <c r="C242" s="406"/>
      <c r="D242" s="116"/>
      <c r="E242" s="116"/>
      <c r="F242" s="117" t="s">
        <v>510</v>
      </c>
      <c r="G242" s="117"/>
      <c r="H242" s="117"/>
    </row>
    <row r="243" spans="1:10" s="119" customFormat="1" ht="12.75" x14ac:dyDescent="0.2">
      <c r="A243" s="289"/>
      <c r="B243" s="289"/>
      <c r="C243" s="289"/>
      <c r="D243" s="407" t="s">
        <v>281</v>
      </c>
      <c r="E243" s="407"/>
      <c r="F243" s="271" t="s">
        <v>282</v>
      </c>
      <c r="G243" s="271"/>
      <c r="H243" s="271"/>
    </row>
    <row r="244" spans="1:10" x14ac:dyDescent="0.25">
      <c r="A244" s="286"/>
      <c r="B244" s="286"/>
      <c r="C244" s="286"/>
      <c r="D244" s="286"/>
      <c r="E244" s="286"/>
      <c r="F244" s="286"/>
      <c r="G244" s="45"/>
      <c r="H244" s="45"/>
      <c r="I244" s="45"/>
      <c r="J244" s="45"/>
    </row>
    <row r="245" spans="1:10" x14ac:dyDescent="0.25">
      <c r="A245" s="47" t="s">
        <v>283</v>
      </c>
      <c r="B245" s="223" t="s">
        <v>578</v>
      </c>
      <c r="C245" s="286"/>
      <c r="D245" s="286"/>
      <c r="E245" s="286"/>
      <c r="F245" s="286"/>
      <c r="G245" s="45"/>
      <c r="H245" s="45"/>
      <c r="I245" s="45"/>
      <c r="J245" s="45"/>
    </row>
    <row r="246" spans="1:10" x14ac:dyDescent="0.25">
      <c r="A246" s="286"/>
      <c r="B246" s="286"/>
      <c r="C246" s="286"/>
      <c r="D246" s="286"/>
      <c r="E246" s="286"/>
      <c r="F246" s="286"/>
      <c r="G246" s="45"/>
      <c r="H246" s="45"/>
      <c r="I246" s="45"/>
      <c r="J246" s="45"/>
    </row>
    <row r="247" spans="1:10" x14ac:dyDescent="0.25">
      <c r="A247" s="392"/>
      <c r="B247" s="392"/>
      <c r="C247" s="286"/>
      <c r="D247" s="286"/>
      <c r="E247" s="286"/>
      <c r="F247" s="286"/>
      <c r="G247" s="45"/>
      <c r="H247" s="45"/>
      <c r="I247" s="45"/>
      <c r="J247" s="45"/>
    </row>
  </sheetData>
  <mergeCells count="518">
    <mergeCell ref="B144:D144"/>
    <mergeCell ref="I144:J144"/>
    <mergeCell ref="I141:J141"/>
    <mergeCell ref="B142:D142"/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25:J25"/>
    <mergeCell ref="A28:J28"/>
    <mergeCell ref="A17:J17"/>
    <mergeCell ref="I9:I11"/>
    <mergeCell ref="J9:J11"/>
    <mergeCell ref="D10:D11"/>
    <mergeCell ref="E10:G10"/>
    <mergeCell ref="A13:J13"/>
    <mergeCell ref="A14:J14"/>
    <mergeCell ref="A48:J48"/>
    <mergeCell ref="G42:H42"/>
    <mergeCell ref="I42:J42"/>
    <mergeCell ref="A39:B39"/>
    <mergeCell ref="A41:J41"/>
    <mergeCell ref="B42:D42"/>
    <mergeCell ref="E42:F42"/>
    <mergeCell ref="A33:I33"/>
    <mergeCell ref="A34:I34"/>
    <mergeCell ref="A35:I35"/>
    <mergeCell ref="B45:D45"/>
    <mergeCell ref="E45:F45"/>
    <mergeCell ref="I45:J45"/>
    <mergeCell ref="G43:H43"/>
    <mergeCell ref="I43:J43"/>
    <mergeCell ref="G44:H44"/>
    <mergeCell ref="I44:J44"/>
    <mergeCell ref="B43:D43"/>
    <mergeCell ref="E43:F43"/>
    <mergeCell ref="B44:D44"/>
    <mergeCell ref="E44:F44"/>
    <mergeCell ref="A46:B46"/>
    <mergeCell ref="I52:J52"/>
    <mergeCell ref="I49:J49"/>
    <mergeCell ref="I50:J50"/>
    <mergeCell ref="B49:D49"/>
    <mergeCell ref="E49:F49"/>
    <mergeCell ref="B50:D50"/>
    <mergeCell ref="E50:F50"/>
    <mergeCell ref="A51:J51"/>
    <mergeCell ref="B52:D52"/>
    <mergeCell ref="E52:F52"/>
    <mergeCell ref="B60:D60"/>
    <mergeCell ref="E60:F60"/>
    <mergeCell ref="I60:J60"/>
    <mergeCell ref="A53:J53"/>
    <mergeCell ref="B58:D58"/>
    <mergeCell ref="E58:F58"/>
    <mergeCell ref="I58:J58"/>
    <mergeCell ref="B54:D54"/>
    <mergeCell ref="E54:F54"/>
    <mergeCell ref="I54:J54"/>
    <mergeCell ref="A55:J55"/>
    <mergeCell ref="B56:D56"/>
    <mergeCell ref="E56:F56"/>
    <mergeCell ref="I56:J56"/>
    <mergeCell ref="A59:J59"/>
    <mergeCell ref="G65:H65"/>
    <mergeCell ref="I65:J65"/>
    <mergeCell ref="B61:D61"/>
    <mergeCell ref="E61:F61"/>
    <mergeCell ref="I61:J61"/>
    <mergeCell ref="B62:D62"/>
    <mergeCell ref="E62:F62"/>
    <mergeCell ref="I62:J62"/>
    <mergeCell ref="B63:D63"/>
    <mergeCell ref="E63:F63"/>
    <mergeCell ref="I63:J63"/>
    <mergeCell ref="A64:J64"/>
    <mergeCell ref="B65:F65"/>
    <mergeCell ref="G66:H66"/>
    <mergeCell ref="I66:J66"/>
    <mergeCell ref="G70:H70"/>
    <mergeCell ref="I70:J70"/>
    <mergeCell ref="B66:F66"/>
    <mergeCell ref="B67:F67"/>
    <mergeCell ref="G67:H67"/>
    <mergeCell ref="I67:J67"/>
    <mergeCell ref="B68:F68"/>
    <mergeCell ref="G68:H68"/>
    <mergeCell ref="I68:J68"/>
    <mergeCell ref="B69:F69"/>
    <mergeCell ref="G69:H69"/>
    <mergeCell ref="I69:J69"/>
    <mergeCell ref="B70:F70"/>
    <mergeCell ref="B74:F74"/>
    <mergeCell ref="G74:H74"/>
    <mergeCell ref="I74:J74"/>
    <mergeCell ref="B75:F75"/>
    <mergeCell ref="G75:H75"/>
    <mergeCell ref="I75:J75"/>
    <mergeCell ref="B76:F76"/>
    <mergeCell ref="B77:F77"/>
    <mergeCell ref="G71:H71"/>
    <mergeCell ref="I71:J71"/>
    <mergeCell ref="G72:H72"/>
    <mergeCell ref="I72:J72"/>
    <mergeCell ref="B71:F71"/>
    <mergeCell ref="B72:F72"/>
    <mergeCell ref="B73:F73"/>
    <mergeCell ref="G73:H73"/>
    <mergeCell ref="I73:J73"/>
    <mergeCell ref="B81:F81"/>
    <mergeCell ref="G81:H81"/>
    <mergeCell ref="I81:J81"/>
    <mergeCell ref="B82:F82"/>
    <mergeCell ref="G82:H82"/>
    <mergeCell ref="G76:H76"/>
    <mergeCell ref="I76:J76"/>
    <mergeCell ref="G77:H77"/>
    <mergeCell ref="I77:J77"/>
    <mergeCell ref="G78:H78"/>
    <mergeCell ref="I78:J78"/>
    <mergeCell ref="B78:F78"/>
    <mergeCell ref="B79:F79"/>
    <mergeCell ref="G79:H79"/>
    <mergeCell ref="I79:J79"/>
    <mergeCell ref="B80:F80"/>
    <mergeCell ref="G80:H80"/>
    <mergeCell ref="I80:J80"/>
    <mergeCell ref="I82:J82"/>
    <mergeCell ref="I87:J87"/>
    <mergeCell ref="I88:J88"/>
    <mergeCell ref="I85:J85"/>
    <mergeCell ref="I86:J86"/>
    <mergeCell ref="B87:F87"/>
    <mergeCell ref="G87:H87"/>
    <mergeCell ref="B88:F88"/>
    <mergeCell ref="G88:H88"/>
    <mergeCell ref="I83:J83"/>
    <mergeCell ref="I84:J84"/>
    <mergeCell ref="B83:F83"/>
    <mergeCell ref="G83:H83"/>
    <mergeCell ref="B84:F84"/>
    <mergeCell ref="G84:H84"/>
    <mergeCell ref="B85:F85"/>
    <mergeCell ref="G85:H85"/>
    <mergeCell ref="B86:F86"/>
    <mergeCell ref="G86:H86"/>
    <mergeCell ref="B102:D102"/>
    <mergeCell ref="E102:F102"/>
    <mergeCell ref="B97:D97"/>
    <mergeCell ref="B98:D98"/>
    <mergeCell ref="A99:J99"/>
    <mergeCell ref="B94:D94"/>
    <mergeCell ref="B95:D95"/>
    <mergeCell ref="E95:F95"/>
    <mergeCell ref="B96:D96"/>
    <mergeCell ref="G95:H95"/>
    <mergeCell ref="I95:J95"/>
    <mergeCell ref="E96:F96"/>
    <mergeCell ref="G96:H96"/>
    <mergeCell ref="I96:J96"/>
    <mergeCell ref="E97:F97"/>
    <mergeCell ref="G97:H97"/>
    <mergeCell ref="I97:J97"/>
    <mergeCell ref="E98:F98"/>
    <mergeCell ref="B112:D112"/>
    <mergeCell ref="G112:H112"/>
    <mergeCell ref="I112:J112"/>
    <mergeCell ref="B110:D110"/>
    <mergeCell ref="E110:F110"/>
    <mergeCell ref="G110:H110"/>
    <mergeCell ref="I110:J110"/>
    <mergeCell ref="B103:D103"/>
    <mergeCell ref="B106:D106"/>
    <mergeCell ref="E106:F106"/>
    <mergeCell ref="G106:H106"/>
    <mergeCell ref="I106:J106"/>
    <mergeCell ref="A107:J107"/>
    <mergeCell ref="A104:A105"/>
    <mergeCell ref="B104:C105"/>
    <mergeCell ref="B111:D111"/>
    <mergeCell ref="B113:D113"/>
    <mergeCell ref="G113:H113"/>
    <mergeCell ref="I113:J113"/>
    <mergeCell ref="G119:H119"/>
    <mergeCell ref="I119:J119"/>
    <mergeCell ref="B117:D117"/>
    <mergeCell ref="G117:H117"/>
    <mergeCell ref="I117:J117"/>
    <mergeCell ref="E113:F113"/>
    <mergeCell ref="A114:J114"/>
    <mergeCell ref="E117:F117"/>
    <mergeCell ref="E118:F118"/>
    <mergeCell ref="E119:F119"/>
    <mergeCell ref="B118:D118"/>
    <mergeCell ref="G118:H118"/>
    <mergeCell ref="I118:J118"/>
    <mergeCell ref="B119:D119"/>
    <mergeCell ref="B135:D135"/>
    <mergeCell ref="E135:F135"/>
    <mergeCell ref="G135:H135"/>
    <mergeCell ref="I135:J135"/>
    <mergeCell ref="B131:D131"/>
    <mergeCell ref="G131:H131"/>
    <mergeCell ref="I131:J131"/>
    <mergeCell ref="B129:D129"/>
    <mergeCell ref="G129:H129"/>
    <mergeCell ref="I129:J129"/>
    <mergeCell ref="B130:D130"/>
    <mergeCell ref="G130:H130"/>
    <mergeCell ref="I130:J130"/>
    <mergeCell ref="B147:D147"/>
    <mergeCell ref="I147:J147"/>
    <mergeCell ref="B148:D148"/>
    <mergeCell ref="I148:J148"/>
    <mergeCell ref="F147:G147"/>
    <mergeCell ref="F148:G148"/>
    <mergeCell ref="B139:D139"/>
    <mergeCell ref="I139:J139"/>
    <mergeCell ref="B136:D136"/>
    <mergeCell ref="E136:F136"/>
    <mergeCell ref="G136:H136"/>
    <mergeCell ref="I136:J136"/>
    <mergeCell ref="B137:D137"/>
    <mergeCell ref="G137:H137"/>
    <mergeCell ref="I137:J137"/>
    <mergeCell ref="E137:F137"/>
    <mergeCell ref="A138:J138"/>
    <mergeCell ref="F139:G139"/>
    <mergeCell ref="I142:J142"/>
    <mergeCell ref="B145:D145"/>
    <mergeCell ref="I145:J145"/>
    <mergeCell ref="B141:D141"/>
    <mergeCell ref="B143:D143"/>
    <mergeCell ref="I143:J143"/>
    <mergeCell ref="B149:D149"/>
    <mergeCell ref="I149:J149"/>
    <mergeCell ref="B150:D150"/>
    <mergeCell ref="I150:J150"/>
    <mergeCell ref="B151:D151"/>
    <mergeCell ref="I151:J151"/>
    <mergeCell ref="F149:G149"/>
    <mergeCell ref="F150:G150"/>
    <mergeCell ref="F151:G151"/>
    <mergeCell ref="B163:D163"/>
    <mergeCell ref="E163:F163"/>
    <mergeCell ref="G163:H163"/>
    <mergeCell ref="I163:J163"/>
    <mergeCell ref="F160:G160"/>
    <mergeCell ref="E165:F165"/>
    <mergeCell ref="B152:D152"/>
    <mergeCell ref="I152:J152"/>
    <mergeCell ref="B153:D153"/>
    <mergeCell ref="I153:J153"/>
    <mergeCell ref="F152:G152"/>
    <mergeCell ref="F153:G153"/>
    <mergeCell ref="B166:D166"/>
    <mergeCell ref="G166:H166"/>
    <mergeCell ref="I166:J166"/>
    <mergeCell ref="B173:D173"/>
    <mergeCell ref="E166:F166"/>
    <mergeCell ref="A167:J167"/>
    <mergeCell ref="A168:A169"/>
    <mergeCell ref="I158:J158"/>
    <mergeCell ref="B159:D159"/>
    <mergeCell ref="F159:G159"/>
    <mergeCell ref="I159:J159"/>
    <mergeCell ref="B161:D161"/>
    <mergeCell ref="F161:G161"/>
    <mergeCell ref="I161:J161"/>
    <mergeCell ref="B164:D164"/>
    <mergeCell ref="E164:F164"/>
    <mergeCell ref="G164:H164"/>
    <mergeCell ref="I164:J164"/>
    <mergeCell ref="B165:D165"/>
    <mergeCell ref="G165:H165"/>
    <mergeCell ref="I165:J165"/>
    <mergeCell ref="B160:D160"/>
    <mergeCell ref="I160:J160"/>
    <mergeCell ref="A162:J162"/>
    <mergeCell ref="G168:J168"/>
    <mergeCell ref="G170:J170"/>
    <mergeCell ref="B171:D171"/>
    <mergeCell ref="B172:D172"/>
    <mergeCell ref="B176:D176"/>
    <mergeCell ref="B177:D177"/>
    <mergeCell ref="B178:D178"/>
    <mergeCell ref="B179:D179"/>
    <mergeCell ref="B180:D180"/>
    <mergeCell ref="B174:D174"/>
    <mergeCell ref="B194:D194"/>
    <mergeCell ref="E194:F194"/>
    <mergeCell ref="B195:D195"/>
    <mergeCell ref="B188:D188"/>
    <mergeCell ref="B189:D189"/>
    <mergeCell ref="B187:D187"/>
    <mergeCell ref="B175:D175"/>
    <mergeCell ref="B170:D170"/>
    <mergeCell ref="B168:D169"/>
    <mergeCell ref="E168:E169"/>
    <mergeCell ref="F168:F169"/>
    <mergeCell ref="B181:D181"/>
    <mergeCell ref="B182:D182"/>
    <mergeCell ref="B191:D191"/>
    <mergeCell ref="B192:D192"/>
    <mergeCell ref="B193:D193"/>
    <mergeCell ref="E195:F195"/>
    <mergeCell ref="K88:L88"/>
    <mergeCell ref="A89:J89"/>
    <mergeCell ref="A90:J90"/>
    <mergeCell ref="E93:F93"/>
    <mergeCell ref="G93:H93"/>
    <mergeCell ref="I93:J93"/>
    <mergeCell ref="E94:F94"/>
    <mergeCell ref="G94:H94"/>
    <mergeCell ref="I94:J94"/>
    <mergeCell ref="B93:D93"/>
    <mergeCell ref="K107:L107"/>
    <mergeCell ref="E111:F111"/>
    <mergeCell ref="E112:F112"/>
    <mergeCell ref="G98:H98"/>
    <mergeCell ref="I98:J98"/>
    <mergeCell ref="G102:H102"/>
    <mergeCell ref="I102:J102"/>
    <mergeCell ref="E103:F103"/>
    <mergeCell ref="G103:H103"/>
    <mergeCell ref="I103:J103"/>
    <mergeCell ref="E104:F104"/>
    <mergeCell ref="G104:H104"/>
    <mergeCell ref="I104:J104"/>
    <mergeCell ref="E105:F105"/>
    <mergeCell ref="G105:H105"/>
    <mergeCell ref="I105:J105"/>
    <mergeCell ref="G111:H111"/>
    <mergeCell ref="I111:J111"/>
    <mergeCell ref="E120:F120"/>
    <mergeCell ref="A121:J121"/>
    <mergeCell ref="A124:J124"/>
    <mergeCell ref="B128:D128"/>
    <mergeCell ref="G128:H128"/>
    <mergeCell ref="I128:J128"/>
    <mergeCell ref="A133:J133"/>
    <mergeCell ref="B134:D134"/>
    <mergeCell ref="E134:F134"/>
    <mergeCell ref="G134:H134"/>
    <mergeCell ref="I134:J134"/>
    <mergeCell ref="I127:J127"/>
    <mergeCell ref="B125:D125"/>
    <mergeCell ref="G125:H125"/>
    <mergeCell ref="I125:J125"/>
    <mergeCell ref="B126:D126"/>
    <mergeCell ref="G126:H126"/>
    <mergeCell ref="I126:J126"/>
    <mergeCell ref="B120:D120"/>
    <mergeCell ref="G120:H120"/>
    <mergeCell ref="I120:J120"/>
    <mergeCell ref="B127:D127"/>
    <mergeCell ref="G127:H127"/>
    <mergeCell ref="B215:D215"/>
    <mergeCell ref="E215:F215"/>
    <mergeCell ref="B216:D216"/>
    <mergeCell ref="E216:F216"/>
    <mergeCell ref="B217:D217"/>
    <mergeCell ref="E217:F217"/>
    <mergeCell ref="B140:D140"/>
    <mergeCell ref="F140:G140"/>
    <mergeCell ref="I140:J140"/>
    <mergeCell ref="F141:G141"/>
    <mergeCell ref="F142:G142"/>
    <mergeCell ref="F143:G143"/>
    <mergeCell ref="F144:G144"/>
    <mergeCell ref="F145:G145"/>
    <mergeCell ref="B146:D146"/>
    <mergeCell ref="F146:G146"/>
    <mergeCell ref="I146:J146"/>
    <mergeCell ref="B186:D186"/>
    <mergeCell ref="E186:F186"/>
    <mergeCell ref="G186:J186"/>
    <mergeCell ref="B190:D190"/>
    <mergeCell ref="A183:J183"/>
    <mergeCell ref="A184:A185"/>
    <mergeCell ref="B184:D185"/>
    <mergeCell ref="B210:D210"/>
    <mergeCell ref="E210:F210"/>
    <mergeCell ref="G210:H210"/>
    <mergeCell ref="I210:J210"/>
    <mergeCell ref="A211:J211"/>
    <mergeCell ref="A206:J206"/>
    <mergeCell ref="B207:D207"/>
    <mergeCell ref="E207:F207"/>
    <mergeCell ref="G207:H207"/>
    <mergeCell ref="I207:J207"/>
    <mergeCell ref="B208:D208"/>
    <mergeCell ref="E208:F208"/>
    <mergeCell ref="G208:H208"/>
    <mergeCell ref="I208:J208"/>
    <mergeCell ref="A218:J218"/>
    <mergeCell ref="A219:J219"/>
    <mergeCell ref="B220:D220"/>
    <mergeCell ref="E220:F220"/>
    <mergeCell ref="G220:H220"/>
    <mergeCell ref="I220:J220"/>
    <mergeCell ref="B221:D221"/>
    <mergeCell ref="E221:F221"/>
    <mergeCell ref="G221:H221"/>
    <mergeCell ref="I221:J221"/>
    <mergeCell ref="A222:J222"/>
    <mergeCell ref="B223:D223"/>
    <mergeCell ref="G223:H223"/>
    <mergeCell ref="I223:J223"/>
    <mergeCell ref="B224:D224"/>
    <mergeCell ref="G224:H224"/>
    <mergeCell ref="I224:J224"/>
    <mergeCell ref="B225:D225"/>
    <mergeCell ref="G225:H225"/>
    <mergeCell ref="I225:J225"/>
    <mergeCell ref="B226:D226"/>
    <mergeCell ref="G226:H226"/>
    <mergeCell ref="I226:J226"/>
    <mergeCell ref="A227:J227"/>
    <mergeCell ref="A228:A229"/>
    <mergeCell ref="B228:D229"/>
    <mergeCell ref="E228:F229"/>
    <mergeCell ref="G228:J228"/>
    <mergeCell ref="B230:D230"/>
    <mergeCell ref="E230:F230"/>
    <mergeCell ref="G230:J230"/>
    <mergeCell ref="B231:D231"/>
    <mergeCell ref="E231:F231"/>
    <mergeCell ref="B232:D232"/>
    <mergeCell ref="E232:F232"/>
    <mergeCell ref="G232:J232"/>
    <mergeCell ref="I234:J234"/>
    <mergeCell ref="I236:J236"/>
    <mergeCell ref="A238:C238"/>
    <mergeCell ref="D239:E239"/>
    <mergeCell ref="A240:C240"/>
    <mergeCell ref="D241:E241"/>
    <mergeCell ref="A242:C242"/>
    <mergeCell ref="D243:E243"/>
    <mergeCell ref="A247:B247"/>
    <mergeCell ref="A36:J36"/>
    <mergeCell ref="A38:I38"/>
    <mergeCell ref="A40:B40"/>
    <mergeCell ref="G45:H45"/>
    <mergeCell ref="A47:B47"/>
    <mergeCell ref="B57:D57"/>
    <mergeCell ref="E57:F57"/>
    <mergeCell ref="I57:J57"/>
    <mergeCell ref="B154:D154"/>
    <mergeCell ref="B155:D155"/>
    <mergeCell ref="B156:D156"/>
    <mergeCell ref="I154:J154"/>
    <mergeCell ref="I155:J155"/>
    <mergeCell ref="I156:J156"/>
    <mergeCell ref="B157:D157"/>
    <mergeCell ref="F157:G157"/>
    <mergeCell ref="I157:J157"/>
    <mergeCell ref="B158:D158"/>
    <mergeCell ref="F158:G158"/>
    <mergeCell ref="G182:J182"/>
    <mergeCell ref="E188:F188"/>
    <mergeCell ref="E189:F189"/>
    <mergeCell ref="E190:F190"/>
    <mergeCell ref="E191:F191"/>
    <mergeCell ref="E192:F192"/>
    <mergeCell ref="E193:F193"/>
    <mergeCell ref="E184:F185"/>
    <mergeCell ref="G184:J184"/>
    <mergeCell ref="E187:F187"/>
    <mergeCell ref="B196:D196"/>
    <mergeCell ref="E196:F196"/>
    <mergeCell ref="B197:D197"/>
    <mergeCell ref="E197:F197"/>
    <mergeCell ref="B198:D198"/>
    <mergeCell ref="E198:F198"/>
    <mergeCell ref="B199:D199"/>
    <mergeCell ref="E199:F199"/>
    <mergeCell ref="B200:D200"/>
    <mergeCell ref="E200:F200"/>
    <mergeCell ref="B201:D201"/>
    <mergeCell ref="E201:F201"/>
    <mergeCell ref="B202:D202"/>
    <mergeCell ref="E202:F202"/>
    <mergeCell ref="B203:D203"/>
    <mergeCell ref="E203:F203"/>
    <mergeCell ref="B204:D204"/>
    <mergeCell ref="E204:F204"/>
    <mergeCell ref="G204:J204"/>
    <mergeCell ref="B205:D205"/>
    <mergeCell ref="E205:F205"/>
    <mergeCell ref="G205:J205"/>
    <mergeCell ref="G215:H215"/>
    <mergeCell ref="I215:J215"/>
    <mergeCell ref="G216:H216"/>
    <mergeCell ref="I216:J216"/>
    <mergeCell ref="G217:H217"/>
    <mergeCell ref="I217:J217"/>
    <mergeCell ref="B212:D212"/>
    <mergeCell ref="E212:F212"/>
    <mergeCell ref="G212:H212"/>
    <mergeCell ref="I212:J212"/>
    <mergeCell ref="B213:D213"/>
    <mergeCell ref="E213:F213"/>
    <mergeCell ref="G213:H213"/>
    <mergeCell ref="I213:J213"/>
    <mergeCell ref="B214:D214"/>
    <mergeCell ref="G214:H214"/>
    <mergeCell ref="I214:J214"/>
    <mergeCell ref="B209:D209"/>
    <mergeCell ref="E209:F209"/>
    <mergeCell ref="G209:H209"/>
    <mergeCell ref="I209:J209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1" fitToHeight="0" orientation="portrait" r:id="rId1"/>
  <rowBreaks count="1" manualBreakCount="1">
    <brk id="8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6"/>
  <sheetViews>
    <sheetView zoomScaleSheetLayoutView="100" workbookViewId="0">
      <selection activeCell="M26" sqref="M26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4" width="9.140625" style="1"/>
    <col min="5" max="5" width="11.28515625" style="1" customWidth="1"/>
    <col min="6" max="6" width="10.7109375" style="1" customWidth="1"/>
    <col min="7" max="7" width="9.42578125" style="1" bestFit="1" customWidth="1"/>
    <col min="8" max="8" width="9.7109375" style="1" customWidth="1"/>
    <col min="9" max="9" width="10.140625" style="1" customWidth="1"/>
    <col min="10" max="10" width="14.5703125" style="1" customWidth="1"/>
    <col min="11" max="11" width="13.5703125" style="1" customWidth="1"/>
    <col min="12" max="12" width="23.42578125" style="1" customWidth="1"/>
    <col min="13" max="13" width="11.7109375" style="1" bestFit="1" customWidth="1"/>
    <col min="14" max="16384" width="9.140625" style="1"/>
  </cols>
  <sheetData>
    <row r="1" spans="1:10" ht="36.75" customHeight="1" x14ac:dyDescent="0.25">
      <c r="A1" s="799" t="s">
        <v>68</v>
      </c>
      <c r="B1" s="799"/>
      <c r="C1" s="799"/>
      <c r="D1" s="799"/>
      <c r="E1" s="799"/>
      <c r="F1" s="799"/>
      <c r="G1" s="799"/>
      <c r="H1" s="799"/>
      <c r="I1" s="799"/>
      <c r="J1" s="799"/>
    </row>
    <row r="2" spans="1:10" ht="15.7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34.5" customHeight="1" x14ac:dyDescent="0.25">
      <c r="A3" s="800" t="s">
        <v>67</v>
      </c>
      <c r="B3" s="800"/>
      <c r="C3" s="800"/>
      <c r="D3" s="800"/>
      <c r="E3" s="800"/>
      <c r="F3" s="800"/>
      <c r="G3" s="800"/>
      <c r="H3" s="800"/>
      <c r="I3" s="800"/>
      <c r="J3" s="800"/>
    </row>
    <row r="4" spans="1:10" ht="15.75" x14ac:dyDescent="0.25">
      <c r="A4" s="18"/>
    </row>
    <row r="5" spans="1:10" ht="39" customHeight="1" x14ac:dyDescent="0.25">
      <c r="A5" s="801" t="s">
        <v>83</v>
      </c>
      <c r="B5" s="801"/>
      <c r="C5" s="801"/>
      <c r="D5" s="801"/>
      <c r="E5" s="801"/>
      <c r="F5" s="801"/>
      <c r="G5" s="801"/>
      <c r="H5" s="801"/>
      <c r="I5" s="801"/>
      <c r="J5" s="801"/>
    </row>
    <row r="6" spans="1:10" ht="15.75" x14ac:dyDescent="0.25">
      <c r="A6" s="2"/>
      <c r="D6" s="61" t="s">
        <v>266</v>
      </c>
      <c r="E6" s="63" t="s">
        <v>273</v>
      </c>
      <c r="F6" s="62" t="s">
        <v>279</v>
      </c>
    </row>
    <row r="7" spans="1:10" ht="15.75" x14ac:dyDescent="0.25">
      <c r="A7" s="2"/>
    </row>
    <row r="8" spans="1:10" ht="15.75" x14ac:dyDescent="0.25">
      <c r="A8" s="2"/>
    </row>
    <row r="9" spans="1:10" ht="15.75" x14ac:dyDescent="0.25">
      <c r="A9" s="728" t="s">
        <v>0</v>
      </c>
      <c r="B9" s="728"/>
      <c r="C9" s="728"/>
      <c r="D9" s="728"/>
      <c r="E9" s="728"/>
      <c r="F9" s="728"/>
      <c r="G9" s="728"/>
      <c r="H9" s="728"/>
      <c r="I9" s="728"/>
      <c r="J9" s="728"/>
    </row>
    <row r="10" spans="1:10" ht="15.75" x14ac:dyDescent="0.25">
      <c r="A10" s="2"/>
    </row>
    <row r="11" spans="1:10" ht="15.75" x14ac:dyDescent="0.25">
      <c r="A11" s="2" t="s">
        <v>80</v>
      </c>
      <c r="C11" s="3">
        <v>111</v>
      </c>
      <c r="D11" s="3">
        <v>112</v>
      </c>
      <c r="E11" s="3">
        <v>119</v>
      </c>
      <c r="F11" s="4"/>
      <c r="G11" s="4"/>
      <c r="H11" s="4"/>
      <c r="I11" s="4"/>
      <c r="J11" s="4"/>
    </row>
    <row r="12" spans="1:10" ht="15.75" x14ac:dyDescent="0.25">
      <c r="A12" s="2" t="s">
        <v>81</v>
      </c>
      <c r="E12" s="5" t="s">
        <v>82</v>
      </c>
      <c r="F12" s="6"/>
      <c r="G12" s="5" t="s">
        <v>195</v>
      </c>
      <c r="H12" s="6"/>
      <c r="I12" s="6"/>
      <c r="J12" s="6"/>
    </row>
    <row r="13" spans="1:10" ht="15.75" x14ac:dyDescent="0.25">
      <c r="A13" s="2"/>
    </row>
    <row r="14" spans="1:10" ht="15.75" x14ac:dyDescent="0.25">
      <c r="A14" s="728" t="s">
        <v>295</v>
      </c>
      <c r="B14" s="728"/>
      <c r="C14" s="728"/>
      <c r="D14" s="728"/>
      <c r="E14" s="728"/>
      <c r="F14" s="728"/>
      <c r="G14" s="728"/>
      <c r="H14" s="728"/>
      <c r="I14" s="728"/>
      <c r="J14" s="728"/>
    </row>
    <row r="15" spans="1:10" ht="15.75" x14ac:dyDescent="0.25">
      <c r="A15" s="18"/>
    </row>
    <row r="16" spans="1:10" ht="33" customHeight="1" x14ac:dyDescent="0.25">
      <c r="A16" s="719" t="s">
        <v>1</v>
      </c>
      <c r="B16" s="719" t="s">
        <v>2</v>
      </c>
      <c r="C16" s="719" t="s">
        <v>3</v>
      </c>
      <c r="D16" s="719" t="s">
        <v>4</v>
      </c>
      <c r="E16" s="719"/>
      <c r="F16" s="719"/>
      <c r="G16" s="719"/>
      <c r="H16" s="719" t="s">
        <v>5</v>
      </c>
      <c r="I16" s="719" t="s">
        <v>6</v>
      </c>
      <c r="J16" s="719" t="s">
        <v>7</v>
      </c>
    </row>
    <row r="17" spans="1:10" x14ac:dyDescent="0.25">
      <c r="A17" s="719"/>
      <c r="B17" s="719"/>
      <c r="C17" s="719"/>
      <c r="D17" s="719" t="s">
        <v>8</v>
      </c>
      <c r="E17" s="719" t="s">
        <v>9</v>
      </c>
      <c r="F17" s="719"/>
      <c r="G17" s="719"/>
      <c r="H17" s="719"/>
      <c r="I17" s="719"/>
      <c r="J17" s="719"/>
    </row>
    <row r="18" spans="1:10" ht="69" customHeight="1" x14ac:dyDescent="0.25">
      <c r="A18" s="719"/>
      <c r="B18" s="719"/>
      <c r="C18" s="719"/>
      <c r="D18" s="719"/>
      <c r="E18" s="69" t="s">
        <v>10</v>
      </c>
      <c r="F18" s="69" t="s">
        <v>11</v>
      </c>
      <c r="G18" s="69" t="s">
        <v>12</v>
      </c>
      <c r="H18" s="719"/>
      <c r="I18" s="719"/>
      <c r="J18" s="719"/>
    </row>
    <row r="19" spans="1:10" s="41" customFormat="1" ht="12.75" x14ac:dyDescent="0.2">
      <c r="A19" s="69">
        <v>1</v>
      </c>
      <c r="B19" s="69">
        <v>2</v>
      </c>
      <c r="C19" s="69">
        <v>3</v>
      </c>
      <c r="D19" s="69">
        <v>4</v>
      </c>
      <c r="E19" s="69">
        <v>5</v>
      </c>
      <c r="F19" s="69">
        <v>6</v>
      </c>
      <c r="G19" s="69">
        <v>7</v>
      </c>
      <c r="H19" s="69">
        <v>8</v>
      </c>
      <c r="I19" s="69">
        <v>9</v>
      </c>
      <c r="J19" s="69">
        <v>10</v>
      </c>
    </row>
    <row r="20" spans="1:10" x14ac:dyDescent="0.25">
      <c r="A20" s="67"/>
      <c r="B20" s="23" t="s">
        <v>206</v>
      </c>
      <c r="C20" s="24"/>
      <c r="D20" s="67"/>
      <c r="E20" s="67"/>
      <c r="F20" s="67"/>
      <c r="G20" s="67"/>
      <c r="H20" s="67"/>
      <c r="I20" s="67"/>
      <c r="J20" s="67"/>
    </row>
    <row r="21" spans="1:10" x14ac:dyDescent="0.25">
      <c r="A21" s="67" t="s">
        <v>70</v>
      </c>
      <c r="B21" s="25" t="s">
        <v>207</v>
      </c>
      <c r="C21" s="28"/>
      <c r="D21" s="20">
        <f>E21+F21+G21</f>
        <v>0</v>
      </c>
      <c r="E21" s="20"/>
      <c r="F21" s="20">
        <f>E21*9%</f>
        <v>0</v>
      </c>
      <c r="G21" s="20">
        <f>E21*21%</f>
        <v>0</v>
      </c>
      <c r="H21" s="21">
        <v>0.5</v>
      </c>
      <c r="I21" s="22">
        <v>1.7</v>
      </c>
      <c r="J21" s="37">
        <f>(C21*D21*(H21/100%+I21)*12)</f>
        <v>0</v>
      </c>
    </row>
    <row r="22" spans="1:10" ht="24.75" customHeight="1" x14ac:dyDescent="0.25">
      <c r="A22" s="67" t="s">
        <v>75</v>
      </c>
      <c r="B22" s="26" t="s">
        <v>208</v>
      </c>
      <c r="C22" s="28"/>
      <c r="D22" s="20">
        <f t="shared" ref="D22:D25" si="0">E22+F22+G22</f>
        <v>0</v>
      </c>
      <c r="E22" s="20"/>
      <c r="F22" s="20">
        <f t="shared" ref="F22:F25" si="1">E22*9%</f>
        <v>0</v>
      </c>
      <c r="G22" s="20">
        <f t="shared" ref="G22:G25" si="2">E22*21%</f>
        <v>0</v>
      </c>
      <c r="H22" s="21">
        <v>0.5</v>
      </c>
      <c r="I22" s="22">
        <v>1.7</v>
      </c>
      <c r="J22" s="37">
        <f t="shared" ref="J22:J25" si="3">(C22*D22*(H22/100%+I22)*12)</f>
        <v>0</v>
      </c>
    </row>
    <row r="23" spans="1:10" ht="26.25" x14ac:dyDescent="0.25">
      <c r="A23" s="67" t="s">
        <v>77</v>
      </c>
      <c r="B23" s="26" t="s">
        <v>209</v>
      </c>
      <c r="C23" s="28"/>
      <c r="D23" s="20">
        <f t="shared" si="0"/>
        <v>0</v>
      </c>
      <c r="E23" s="20"/>
      <c r="F23" s="20">
        <f t="shared" si="1"/>
        <v>0</v>
      </c>
      <c r="G23" s="20">
        <f t="shared" si="2"/>
        <v>0</v>
      </c>
      <c r="H23" s="21">
        <v>0.5</v>
      </c>
      <c r="I23" s="22">
        <v>1.7</v>
      </c>
      <c r="J23" s="37">
        <f t="shared" si="3"/>
        <v>0</v>
      </c>
    </row>
    <row r="24" spans="1:10" ht="39" x14ac:dyDescent="0.25">
      <c r="A24" s="67" t="s">
        <v>86</v>
      </c>
      <c r="B24" s="26" t="s">
        <v>210</v>
      </c>
      <c r="C24" s="28"/>
      <c r="D24" s="20">
        <f t="shared" si="0"/>
        <v>0</v>
      </c>
      <c r="E24" s="20"/>
      <c r="F24" s="20">
        <f t="shared" si="1"/>
        <v>0</v>
      </c>
      <c r="G24" s="20">
        <f t="shared" si="2"/>
        <v>0</v>
      </c>
      <c r="H24" s="21">
        <v>0.5</v>
      </c>
      <c r="I24" s="22">
        <v>1.7</v>
      </c>
      <c r="J24" s="37">
        <f t="shared" si="3"/>
        <v>0</v>
      </c>
    </row>
    <row r="25" spans="1:10" x14ac:dyDescent="0.25">
      <c r="A25" s="67" t="s">
        <v>87</v>
      </c>
      <c r="B25" s="26" t="s">
        <v>211</v>
      </c>
      <c r="C25" s="28"/>
      <c r="D25" s="20">
        <f t="shared" si="0"/>
        <v>0</v>
      </c>
      <c r="E25" s="20"/>
      <c r="F25" s="20">
        <f t="shared" si="1"/>
        <v>0</v>
      </c>
      <c r="G25" s="20">
        <f t="shared" si="2"/>
        <v>0</v>
      </c>
      <c r="H25" s="21">
        <v>0.5</v>
      </c>
      <c r="I25" s="22">
        <v>1.7</v>
      </c>
      <c r="J25" s="37">
        <f t="shared" si="3"/>
        <v>0</v>
      </c>
    </row>
    <row r="26" spans="1:10" x14ac:dyDescent="0.25">
      <c r="A26" s="75"/>
      <c r="B26" s="30" t="s">
        <v>212</v>
      </c>
      <c r="C26" s="31">
        <f>SUM(C21:C25)</f>
        <v>0</v>
      </c>
      <c r="D26" s="32"/>
      <c r="E26" s="32"/>
      <c r="F26" s="32"/>
      <c r="G26" s="32"/>
      <c r="H26" s="33"/>
      <c r="I26" s="34"/>
      <c r="J26" s="38">
        <f>SUM(J21:J25)</f>
        <v>0</v>
      </c>
    </row>
    <row r="27" spans="1:10" x14ac:dyDescent="0.25">
      <c r="A27" s="67"/>
      <c r="B27" s="23" t="s">
        <v>219</v>
      </c>
      <c r="C27" s="67"/>
      <c r="D27" s="67"/>
      <c r="E27" s="67"/>
      <c r="F27" s="67"/>
      <c r="G27" s="67"/>
      <c r="H27" s="67"/>
      <c r="I27" s="67"/>
      <c r="J27" s="73"/>
    </row>
    <row r="28" spans="1:10" x14ac:dyDescent="0.25">
      <c r="A28" s="27" t="s">
        <v>97</v>
      </c>
      <c r="B28" s="27" t="s">
        <v>220</v>
      </c>
      <c r="C28" s="27"/>
      <c r="D28" s="20">
        <f>E28+F28+G28</f>
        <v>0</v>
      </c>
      <c r="E28" s="20"/>
      <c r="F28" s="20">
        <f>E28*9%</f>
        <v>0</v>
      </c>
      <c r="G28" s="20">
        <f>E28*21%</f>
        <v>0</v>
      </c>
      <c r="H28" s="21">
        <v>0.5</v>
      </c>
      <c r="I28" s="22">
        <v>1.7</v>
      </c>
      <c r="J28" s="37">
        <f>(C28*D28*(H28/100%+I28)*12)</f>
        <v>0</v>
      </c>
    </row>
    <row r="29" spans="1:10" x14ac:dyDescent="0.25">
      <c r="A29" s="27" t="s">
        <v>116</v>
      </c>
      <c r="B29" s="26" t="s">
        <v>213</v>
      </c>
      <c r="C29" s="28"/>
      <c r="D29" s="20">
        <f>E29+F29+G29</f>
        <v>0</v>
      </c>
      <c r="E29" s="20"/>
      <c r="F29" s="20">
        <f>E29*9%</f>
        <v>0</v>
      </c>
      <c r="G29" s="20">
        <f>E29*21%</f>
        <v>0</v>
      </c>
      <c r="H29" s="21">
        <v>0.5</v>
      </c>
      <c r="I29" s="22">
        <v>1.7</v>
      </c>
      <c r="J29" s="37">
        <f>(C29*D29*(H29/100%+I29)*12)</f>
        <v>0</v>
      </c>
    </row>
    <row r="30" spans="1:10" x14ac:dyDescent="0.25">
      <c r="A30" s="27" t="s">
        <v>117</v>
      </c>
      <c r="B30" s="26" t="s">
        <v>214</v>
      </c>
      <c r="C30" s="28"/>
      <c r="D30" s="20">
        <f t="shared" ref="D30:D56" si="4">E30+F30+G30</f>
        <v>0</v>
      </c>
      <c r="E30" s="20"/>
      <c r="F30" s="20">
        <f t="shared" ref="F30:F56" si="5">E30*9%</f>
        <v>0</v>
      </c>
      <c r="G30" s="20">
        <f t="shared" ref="G30:G56" si="6">E30*21%</f>
        <v>0</v>
      </c>
      <c r="H30" s="21">
        <v>0.5</v>
      </c>
      <c r="I30" s="22">
        <v>1.7</v>
      </c>
      <c r="J30" s="37">
        <f t="shared" ref="J30:J56" si="7">(C30*D30*(H30/100%+I30)*12)</f>
        <v>0</v>
      </c>
    </row>
    <row r="31" spans="1:10" x14ac:dyDescent="0.25">
      <c r="A31" s="27" t="s">
        <v>118</v>
      </c>
      <c r="B31" s="26" t="s">
        <v>215</v>
      </c>
      <c r="C31" s="28"/>
      <c r="D31" s="20">
        <f t="shared" si="4"/>
        <v>0</v>
      </c>
      <c r="E31" s="20"/>
      <c r="F31" s="20">
        <f t="shared" si="5"/>
        <v>0</v>
      </c>
      <c r="G31" s="20">
        <f t="shared" si="6"/>
        <v>0</v>
      </c>
      <c r="H31" s="21">
        <v>0.5</v>
      </c>
      <c r="I31" s="22">
        <v>1.7</v>
      </c>
      <c r="J31" s="37">
        <f t="shared" si="7"/>
        <v>0</v>
      </c>
    </row>
    <row r="32" spans="1:10" ht="39" x14ac:dyDescent="0.25">
      <c r="A32" s="27" t="s">
        <v>119</v>
      </c>
      <c r="B32" s="26" t="s">
        <v>216</v>
      </c>
      <c r="C32" s="28"/>
      <c r="D32" s="20">
        <f t="shared" si="4"/>
        <v>0</v>
      </c>
      <c r="E32" s="20"/>
      <c r="F32" s="20">
        <f t="shared" si="5"/>
        <v>0</v>
      </c>
      <c r="G32" s="20">
        <f t="shared" si="6"/>
        <v>0</v>
      </c>
      <c r="H32" s="21">
        <v>0.5</v>
      </c>
      <c r="I32" s="22">
        <v>1.7</v>
      </c>
      <c r="J32" s="37">
        <f t="shared" si="7"/>
        <v>0</v>
      </c>
    </row>
    <row r="33" spans="1:10" x14ac:dyDescent="0.25">
      <c r="A33" s="27" t="s">
        <v>120</v>
      </c>
      <c r="B33" s="26" t="s">
        <v>217</v>
      </c>
      <c r="C33" s="28"/>
      <c r="D33" s="20">
        <f t="shared" si="4"/>
        <v>0</v>
      </c>
      <c r="E33" s="20"/>
      <c r="F33" s="20">
        <f t="shared" si="5"/>
        <v>0</v>
      </c>
      <c r="G33" s="20">
        <f t="shared" si="6"/>
        <v>0</v>
      </c>
      <c r="H33" s="21">
        <v>0.5</v>
      </c>
      <c r="I33" s="22">
        <v>1.7</v>
      </c>
      <c r="J33" s="37">
        <f t="shared" si="7"/>
        <v>0</v>
      </c>
    </row>
    <row r="34" spans="1:10" ht="26.25" x14ac:dyDescent="0.25">
      <c r="A34" s="27" t="s">
        <v>121</v>
      </c>
      <c r="B34" s="26" t="s">
        <v>218</v>
      </c>
      <c r="C34" s="29"/>
      <c r="D34" s="20">
        <f t="shared" si="4"/>
        <v>0</v>
      </c>
      <c r="E34" s="20"/>
      <c r="F34" s="20">
        <f t="shared" si="5"/>
        <v>0</v>
      </c>
      <c r="G34" s="20">
        <f t="shared" si="6"/>
        <v>0</v>
      </c>
      <c r="H34" s="21">
        <v>0.5</v>
      </c>
      <c r="I34" s="22">
        <v>1.7</v>
      </c>
      <c r="J34" s="37">
        <f t="shared" si="7"/>
        <v>0</v>
      </c>
    </row>
    <row r="35" spans="1:10" x14ac:dyDescent="0.25">
      <c r="A35" s="75"/>
      <c r="B35" s="30" t="s">
        <v>212</v>
      </c>
      <c r="C35" s="36">
        <f>SUM(C28:C34)</f>
        <v>0</v>
      </c>
      <c r="D35" s="32"/>
      <c r="E35" s="32"/>
      <c r="F35" s="32"/>
      <c r="G35" s="32"/>
      <c r="H35" s="33"/>
      <c r="I35" s="34"/>
      <c r="J35" s="38">
        <f>SUM(J28:J34)</f>
        <v>0</v>
      </c>
    </row>
    <row r="36" spans="1:10" x14ac:dyDescent="0.25">
      <c r="A36" s="67"/>
      <c r="B36" s="23" t="s">
        <v>221</v>
      </c>
      <c r="C36" s="67"/>
      <c r="D36" s="20"/>
      <c r="E36" s="67"/>
      <c r="F36" s="20"/>
      <c r="G36" s="20"/>
      <c r="H36" s="21"/>
      <c r="I36" s="22"/>
      <c r="J36" s="37"/>
    </row>
    <row r="37" spans="1:10" x14ac:dyDescent="0.25">
      <c r="A37" s="67" t="s">
        <v>122</v>
      </c>
      <c r="B37" s="27" t="s">
        <v>222</v>
      </c>
      <c r="C37" s="27"/>
      <c r="D37" s="20">
        <f t="shared" si="4"/>
        <v>0</v>
      </c>
      <c r="E37" s="20"/>
      <c r="F37" s="20">
        <f t="shared" si="5"/>
        <v>0</v>
      </c>
      <c r="G37" s="20">
        <f t="shared" si="6"/>
        <v>0</v>
      </c>
      <c r="H37" s="21">
        <v>0.5</v>
      </c>
      <c r="I37" s="22">
        <v>1.7</v>
      </c>
      <c r="J37" s="37">
        <f t="shared" si="7"/>
        <v>0</v>
      </c>
    </row>
    <row r="38" spans="1:10" x14ac:dyDescent="0.25">
      <c r="A38" s="67" t="s">
        <v>131</v>
      </c>
      <c r="B38" s="27" t="s">
        <v>223</v>
      </c>
      <c r="C38" s="27"/>
      <c r="D38" s="20">
        <f t="shared" si="4"/>
        <v>0</v>
      </c>
      <c r="E38" s="20"/>
      <c r="F38" s="20">
        <f t="shared" si="5"/>
        <v>0</v>
      </c>
      <c r="G38" s="20">
        <f t="shared" si="6"/>
        <v>0</v>
      </c>
      <c r="H38" s="21">
        <v>0.5</v>
      </c>
      <c r="I38" s="22">
        <v>1.7</v>
      </c>
      <c r="J38" s="37">
        <f t="shared" si="7"/>
        <v>0</v>
      </c>
    </row>
    <row r="39" spans="1:10" ht="26.25" x14ac:dyDescent="0.25">
      <c r="A39" s="67" t="s">
        <v>132</v>
      </c>
      <c r="B39" s="27" t="s">
        <v>224</v>
      </c>
      <c r="C39" s="27"/>
      <c r="D39" s="20">
        <f t="shared" si="4"/>
        <v>0</v>
      </c>
      <c r="E39" s="20"/>
      <c r="F39" s="20">
        <f t="shared" si="5"/>
        <v>0</v>
      </c>
      <c r="G39" s="20">
        <f t="shared" si="6"/>
        <v>0</v>
      </c>
      <c r="H39" s="21">
        <v>0.5</v>
      </c>
      <c r="I39" s="22">
        <v>1.7</v>
      </c>
      <c r="J39" s="37">
        <f t="shared" si="7"/>
        <v>0</v>
      </c>
    </row>
    <row r="40" spans="1:10" x14ac:dyDescent="0.25">
      <c r="A40" s="67" t="s">
        <v>133</v>
      </c>
      <c r="B40" s="27" t="s">
        <v>225</v>
      </c>
      <c r="C40" s="27"/>
      <c r="D40" s="20">
        <f t="shared" si="4"/>
        <v>0</v>
      </c>
      <c r="E40" s="20"/>
      <c r="F40" s="20">
        <f t="shared" si="5"/>
        <v>0</v>
      </c>
      <c r="G40" s="20">
        <f t="shared" si="6"/>
        <v>0</v>
      </c>
      <c r="H40" s="21">
        <v>0.5</v>
      </c>
      <c r="I40" s="22">
        <v>1.7</v>
      </c>
      <c r="J40" s="37">
        <f t="shared" si="7"/>
        <v>0</v>
      </c>
    </row>
    <row r="41" spans="1:10" x14ac:dyDescent="0.25">
      <c r="A41" s="67" t="s">
        <v>134</v>
      </c>
      <c r="B41" s="27" t="s">
        <v>226</v>
      </c>
      <c r="C41" s="27"/>
      <c r="D41" s="20">
        <f t="shared" si="4"/>
        <v>0</v>
      </c>
      <c r="E41" s="20"/>
      <c r="F41" s="20">
        <f t="shared" si="5"/>
        <v>0</v>
      </c>
      <c r="G41" s="20">
        <f t="shared" si="6"/>
        <v>0</v>
      </c>
      <c r="H41" s="21">
        <v>0.5</v>
      </c>
      <c r="I41" s="22">
        <v>1.7</v>
      </c>
      <c r="J41" s="37">
        <f t="shared" si="7"/>
        <v>0</v>
      </c>
    </row>
    <row r="42" spans="1:10" x14ac:dyDescent="0.25">
      <c r="A42" s="67" t="s">
        <v>200</v>
      </c>
      <c r="B42" s="27" t="s">
        <v>227</v>
      </c>
      <c r="C42" s="27"/>
      <c r="D42" s="20">
        <f t="shared" si="4"/>
        <v>0</v>
      </c>
      <c r="E42" s="20"/>
      <c r="F42" s="20">
        <f t="shared" si="5"/>
        <v>0</v>
      </c>
      <c r="G42" s="20">
        <f t="shared" si="6"/>
        <v>0</v>
      </c>
      <c r="H42" s="21">
        <v>0.5</v>
      </c>
      <c r="I42" s="22">
        <v>1.7</v>
      </c>
      <c r="J42" s="37">
        <f t="shared" si="7"/>
        <v>0</v>
      </c>
    </row>
    <row r="43" spans="1:10" x14ac:dyDescent="0.25">
      <c r="A43" s="67" t="s">
        <v>201</v>
      </c>
      <c r="B43" s="27" t="s">
        <v>228</v>
      </c>
      <c r="C43" s="27"/>
      <c r="D43" s="20">
        <f t="shared" si="4"/>
        <v>0</v>
      </c>
      <c r="E43" s="20"/>
      <c r="F43" s="20">
        <f t="shared" si="5"/>
        <v>0</v>
      </c>
      <c r="G43" s="20">
        <f t="shared" si="6"/>
        <v>0</v>
      </c>
      <c r="H43" s="21">
        <v>0.5</v>
      </c>
      <c r="I43" s="22">
        <v>1.7</v>
      </c>
      <c r="J43" s="37">
        <f t="shared" si="7"/>
        <v>0</v>
      </c>
    </row>
    <row r="44" spans="1:10" x14ac:dyDescent="0.25">
      <c r="A44" s="67" t="s">
        <v>237</v>
      </c>
      <c r="B44" s="27"/>
      <c r="C44" s="27"/>
      <c r="D44" s="20">
        <f t="shared" si="4"/>
        <v>0</v>
      </c>
      <c r="E44" s="20"/>
      <c r="F44" s="20">
        <f t="shared" si="5"/>
        <v>0</v>
      </c>
      <c r="G44" s="20">
        <f t="shared" si="6"/>
        <v>0</v>
      </c>
      <c r="H44" s="21">
        <v>0.5</v>
      </c>
      <c r="I44" s="22">
        <v>1.7</v>
      </c>
      <c r="J44" s="37">
        <f t="shared" si="7"/>
        <v>0</v>
      </c>
    </row>
    <row r="45" spans="1:10" x14ac:dyDescent="0.25">
      <c r="A45" s="67" t="s">
        <v>238</v>
      </c>
      <c r="B45" s="27"/>
      <c r="C45" s="27"/>
      <c r="D45" s="20">
        <f t="shared" si="4"/>
        <v>0</v>
      </c>
      <c r="E45" s="20"/>
      <c r="F45" s="20">
        <f t="shared" si="5"/>
        <v>0</v>
      </c>
      <c r="G45" s="20">
        <f t="shared" si="6"/>
        <v>0</v>
      </c>
      <c r="H45" s="21">
        <v>0.5</v>
      </c>
      <c r="I45" s="22">
        <v>1.7</v>
      </c>
      <c r="J45" s="37">
        <f t="shared" si="7"/>
        <v>0</v>
      </c>
    </row>
    <row r="46" spans="1:10" x14ac:dyDescent="0.25">
      <c r="A46" s="67" t="s">
        <v>239</v>
      </c>
      <c r="B46" s="27"/>
      <c r="C46" s="27"/>
      <c r="D46" s="20">
        <f t="shared" si="4"/>
        <v>0</v>
      </c>
      <c r="E46" s="20"/>
      <c r="F46" s="20">
        <f t="shared" si="5"/>
        <v>0</v>
      </c>
      <c r="G46" s="20">
        <f t="shared" si="6"/>
        <v>0</v>
      </c>
      <c r="H46" s="21">
        <v>0.5</v>
      </c>
      <c r="I46" s="22">
        <v>1.7</v>
      </c>
      <c r="J46" s="37">
        <f t="shared" si="7"/>
        <v>0</v>
      </c>
    </row>
    <row r="47" spans="1:10" x14ac:dyDescent="0.25">
      <c r="A47" s="67" t="s">
        <v>240</v>
      </c>
      <c r="B47" s="27"/>
      <c r="C47" s="27"/>
      <c r="D47" s="20">
        <f t="shared" si="4"/>
        <v>0</v>
      </c>
      <c r="E47" s="20"/>
      <c r="F47" s="20">
        <f t="shared" si="5"/>
        <v>0</v>
      </c>
      <c r="G47" s="20">
        <f t="shared" si="6"/>
        <v>0</v>
      </c>
      <c r="H47" s="21">
        <v>0.5</v>
      </c>
      <c r="I47" s="22">
        <v>1.7</v>
      </c>
      <c r="J47" s="37">
        <f t="shared" si="7"/>
        <v>0</v>
      </c>
    </row>
    <row r="48" spans="1:10" x14ac:dyDescent="0.25">
      <c r="A48" s="75"/>
      <c r="B48" s="30" t="s">
        <v>212</v>
      </c>
      <c r="C48" s="35">
        <f>SUM(C37:C47)</f>
        <v>0</v>
      </c>
      <c r="D48" s="32"/>
      <c r="E48" s="32"/>
      <c r="F48" s="32"/>
      <c r="G48" s="32"/>
      <c r="H48" s="33"/>
      <c r="I48" s="34"/>
      <c r="J48" s="38">
        <f>SUM(J37:J47)</f>
        <v>0</v>
      </c>
    </row>
    <row r="49" spans="1:10" x14ac:dyDescent="0.25">
      <c r="A49" s="67"/>
      <c r="B49" s="23" t="s">
        <v>229</v>
      </c>
      <c r="C49" s="67"/>
      <c r="D49" s="20"/>
      <c r="E49" s="67"/>
      <c r="F49" s="20"/>
      <c r="G49" s="20"/>
      <c r="H49" s="21"/>
      <c r="I49" s="22"/>
      <c r="J49" s="37"/>
    </row>
    <row r="50" spans="1:10" ht="25.5" x14ac:dyDescent="0.25">
      <c r="A50" s="67" t="s">
        <v>241</v>
      </c>
      <c r="B50" s="19" t="s">
        <v>230</v>
      </c>
      <c r="C50" s="27"/>
      <c r="D50" s="20">
        <f t="shared" si="4"/>
        <v>0</v>
      </c>
      <c r="E50" s="20"/>
      <c r="F50" s="20">
        <f t="shared" si="5"/>
        <v>0</v>
      </c>
      <c r="G50" s="20">
        <f t="shared" si="6"/>
        <v>0</v>
      </c>
      <c r="H50" s="21">
        <v>0.5</v>
      </c>
      <c r="I50" s="22">
        <v>1.7</v>
      </c>
      <c r="J50" s="37">
        <f t="shared" si="7"/>
        <v>0</v>
      </c>
    </row>
    <row r="51" spans="1:10" ht="38.25" x14ac:dyDescent="0.25">
      <c r="A51" s="67" t="s">
        <v>242</v>
      </c>
      <c r="B51" s="19" t="s">
        <v>231</v>
      </c>
      <c r="C51" s="27"/>
      <c r="D51" s="20">
        <f t="shared" si="4"/>
        <v>0</v>
      </c>
      <c r="E51" s="20"/>
      <c r="F51" s="20">
        <f t="shared" si="5"/>
        <v>0</v>
      </c>
      <c r="G51" s="20">
        <f t="shared" si="6"/>
        <v>0</v>
      </c>
      <c r="H51" s="21">
        <v>0.5</v>
      </c>
      <c r="I51" s="22">
        <v>1.7</v>
      </c>
      <c r="J51" s="37">
        <f t="shared" si="7"/>
        <v>0</v>
      </c>
    </row>
    <row r="52" spans="1:10" x14ac:dyDescent="0.25">
      <c r="A52" s="67" t="s">
        <v>243</v>
      </c>
      <c r="B52" s="19" t="s">
        <v>232</v>
      </c>
      <c r="C52" s="27"/>
      <c r="D52" s="20">
        <f t="shared" si="4"/>
        <v>0</v>
      </c>
      <c r="E52" s="20"/>
      <c r="F52" s="20">
        <f t="shared" si="5"/>
        <v>0</v>
      </c>
      <c r="G52" s="20">
        <f t="shared" si="6"/>
        <v>0</v>
      </c>
      <c r="H52" s="21">
        <v>0.5</v>
      </c>
      <c r="I52" s="22">
        <v>1.7</v>
      </c>
      <c r="J52" s="37">
        <f t="shared" si="7"/>
        <v>0</v>
      </c>
    </row>
    <row r="53" spans="1:10" x14ac:dyDescent="0.25">
      <c r="A53" s="67" t="s">
        <v>244</v>
      </c>
      <c r="B53" s="19" t="s">
        <v>233</v>
      </c>
      <c r="C53" s="27"/>
      <c r="D53" s="20">
        <f t="shared" si="4"/>
        <v>0</v>
      </c>
      <c r="E53" s="20"/>
      <c r="F53" s="20">
        <f t="shared" si="5"/>
        <v>0</v>
      </c>
      <c r="G53" s="20">
        <f t="shared" si="6"/>
        <v>0</v>
      </c>
      <c r="H53" s="21">
        <v>0.5</v>
      </c>
      <c r="I53" s="22">
        <v>1.7</v>
      </c>
      <c r="J53" s="37">
        <f t="shared" si="7"/>
        <v>0</v>
      </c>
    </row>
    <row r="54" spans="1:10" x14ac:dyDescent="0.25">
      <c r="A54" s="67" t="s">
        <v>245</v>
      </c>
      <c r="B54" s="19" t="s">
        <v>234</v>
      </c>
      <c r="C54" s="27"/>
      <c r="D54" s="20">
        <f t="shared" si="4"/>
        <v>0</v>
      </c>
      <c r="E54" s="20"/>
      <c r="F54" s="20">
        <f t="shared" si="5"/>
        <v>0</v>
      </c>
      <c r="G54" s="20">
        <f t="shared" si="6"/>
        <v>0</v>
      </c>
      <c r="H54" s="21">
        <v>0.5</v>
      </c>
      <c r="I54" s="22">
        <v>1.7</v>
      </c>
      <c r="J54" s="37">
        <f t="shared" si="7"/>
        <v>0</v>
      </c>
    </row>
    <row r="55" spans="1:10" x14ac:dyDescent="0.25">
      <c r="A55" s="67" t="s">
        <v>246</v>
      </c>
      <c r="B55" s="19" t="s">
        <v>235</v>
      </c>
      <c r="C55" s="27"/>
      <c r="D55" s="20">
        <f t="shared" si="4"/>
        <v>0</v>
      </c>
      <c r="E55" s="20"/>
      <c r="F55" s="20">
        <f t="shared" si="5"/>
        <v>0</v>
      </c>
      <c r="G55" s="20">
        <f t="shared" si="6"/>
        <v>0</v>
      </c>
      <c r="H55" s="21">
        <v>0.5</v>
      </c>
      <c r="I55" s="22">
        <v>1.7</v>
      </c>
      <c r="J55" s="37">
        <f t="shared" si="7"/>
        <v>0</v>
      </c>
    </row>
    <row r="56" spans="1:10" x14ac:dyDescent="0.25">
      <c r="A56" s="67" t="s">
        <v>247</v>
      </c>
      <c r="B56" s="19" t="s">
        <v>236</v>
      </c>
      <c r="C56" s="27"/>
      <c r="D56" s="20">
        <f t="shared" si="4"/>
        <v>0</v>
      </c>
      <c r="E56" s="20"/>
      <c r="F56" s="20">
        <f t="shared" si="5"/>
        <v>0</v>
      </c>
      <c r="G56" s="20">
        <f t="shared" si="6"/>
        <v>0</v>
      </c>
      <c r="H56" s="21">
        <v>0.5</v>
      </c>
      <c r="I56" s="22">
        <v>1.7</v>
      </c>
      <c r="J56" s="37">
        <f t="shared" si="7"/>
        <v>0</v>
      </c>
    </row>
    <row r="57" spans="1:10" x14ac:dyDescent="0.25">
      <c r="A57" s="75"/>
      <c r="B57" s="30" t="s">
        <v>212</v>
      </c>
      <c r="C57" s="35">
        <f>SUM(C50:C56)</f>
        <v>0</v>
      </c>
      <c r="D57" s="32"/>
      <c r="E57" s="32"/>
      <c r="F57" s="32"/>
      <c r="G57" s="32"/>
      <c r="H57" s="33"/>
      <c r="I57" s="34"/>
      <c r="J57" s="38">
        <f>SUM(J50:J56)</f>
        <v>0</v>
      </c>
    </row>
    <row r="58" spans="1:10" x14ac:dyDescent="0.25">
      <c r="A58" s="748" t="s">
        <v>13</v>
      </c>
      <c r="B58" s="749"/>
      <c r="C58" s="74">
        <f>C26+C35+C48+C57</f>
        <v>0</v>
      </c>
      <c r="D58" s="79"/>
      <c r="E58" s="67" t="s">
        <v>14</v>
      </c>
      <c r="F58" s="67" t="s">
        <v>14</v>
      </c>
      <c r="G58" s="67" t="s">
        <v>14</v>
      </c>
      <c r="H58" s="67" t="s">
        <v>14</v>
      </c>
      <c r="I58" s="67" t="s">
        <v>14</v>
      </c>
      <c r="J58" s="70">
        <f>ROUND(J26+J35+J48+J57,0)</f>
        <v>0</v>
      </c>
    </row>
    <row r="59" spans="1:10" ht="15.75" customHeight="1" x14ac:dyDescent="0.25">
      <c r="A59" s="737" t="s">
        <v>294</v>
      </c>
      <c r="B59" s="738"/>
      <c r="C59" s="738"/>
      <c r="D59" s="738"/>
      <c r="E59" s="738"/>
      <c r="F59" s="738"/>
      <c r="G59" s="738"/>
      <c r="H59" s="738"/>
      <c r="I59" s="739"/>
      <c r="J59" s="70"/>
    </row>
    <row r="60" spans="1:10" x14ac:dyDescent="0.25">
      <c r="A60" s="713" t="s">
        <v>13</v>
      </c>
      <c r="B60" s="713"/>
      <c r="C60" s="74"/>
      <c r="D60" s="79"/>
      <c r="E60" s="67" t="s">
        <v>14</v>
      </c>
      <c r="F60" s="67" t="s">
        <v>14</v>
      </c>
      <c r="G60" s="67" t="s">
        <v>14</v>
      </c>
      <c r="H60" s="67" t="s">
        <v>14</v>
      </c>
      <c r="I60" s="67" t="s">
        <v>14</v>
      </c>
      <c r="J60" s="68">
        <f>J58+J59</f>
        <v>0</v>
      </c>
    </row>
    <row r="61" spans="1:10" ht="15.75" x14ac:dyDescent="0.25">
      <c r="A61" s="7"/>
    </row>
    <row r="62" spans="1:10" ht="33.75" customHeight="1" x14ac:dyDescent="0.25">
      <c r="A62" s="778" t="s">
        <v>296</v>
      </c>
      <c r="B62" s="778"/>
      <c r="C62" s="778"/>
      <c r="D62" s="778"/>
      <c r="E62" s="778"/>
      <c r="F62" s="778"/>
      <c r="G62" s="778"/>
      <c r="H62" s="778"/>
      <c r="I62" s="778"/>
      <c r="J62" s="778"/>
    </row>
    <row r="63" spans="1:10" ht="16.5" customHeight="1" x14ac:dyDescent="0.25">
      <c r="A63" s="2"/>
    </row>
    <row r="64" spans="1:10" ht="44.25" customHeight="1" x14ac:dyDescent="0.25">
      <c r="A64" s="69" t="s">
        <v>1</v>
      </c>
      <c r="B64" s="719" t="s">
        <v>15</v>
      </c>
      <c r="C64" s="719"/>
      <c r="D64" s="719"/>
      <c r="E64" s="719" t="s">
        <v>16</v>
      </c>
      <c r="F64" s="719"/>
      <c r="G64" s="69" t="s">
        <v>17</v>
      </c>
      <c r="H64" s="69" t="s">
        <v>18</v>
      </c>
      <c r="I64" s="719" t="s">
        <v>104</v>
      </c>
      <c r="J64" s="719"/>
    </row>
    <row r="65" spans="1:10" s="41" customFormat="1" ht="12.75" x14ac:dyDescent="0.2">
      <c r="A65" s="69">
        <v>1</v>
      </c>
      <c r="B65" s="719">
        <v>2</v>
      </c>
      <c r="C65" s="719"/>
      <c r="D65" s="719"/>
      <c r="E65" s="719">
        <v>3</v>
      </c>
      <c r="F65" s="719"/>
      <c r="G65" s="69">
        <v>4</v>
      </c>
      <c r="H65" s="69">
        <v>5</v>
      </c>
      <c r="I65" s="719">
        <v>6</v>
      </c>
      <c r="J65" s="719"/>
    </row>
    <row r="66" spans="1:10" ht="45" customHeight="1" x14ac:dyDescent="0.25">
      <c r="A66" s="75" t="s">
        <v>70</v>
      </c>
      <c r="B66" s="730" t="s">
        <v>78</v>
      </c>
      <c r="C66" s="731"/>
      <c r="D66" s="732"/>
      <c r="E66" s="775" t="s">
        <v>74</v>
      </c>
      <c r="F66" s="775"/>
      <c r="G66" s="75" t="s">
        <v>74</v>
      </c>
      <c r="H66" s="75" t="s">
        <v>74</v>
      </c>
      <c r="I66" s="774">
        <f>I67+I68+I69</f>
        <v>0</v>
      </c>
      <c r="J66" s="775"/>
    </row>
    <row r="67" spans="1:10" ht="30" customHeight="1" x14ac:dyDescent="0.25">
      <c r="A67" s="67" t="s">
        <v>27</v>
      </c>
      <c r="B67" s="737" t="s">
        <v>71</v>
      </c>
      <c r="C67" s="738"/>
      <c r="D67" s="739"/>
      <c r="E67" s="776"/>
      <c r="F67" s="776"/>
      <c r="G67" s="67"/>
      <c r="H67" s="67"/>
      <c r="I67" s="725">
        <f>E67*G67*H67</f>
        <v>0</v>
      </c>
      <c r="J67" s="725"/>
    </row>
    <row r="68" spans="1:10" ht="30" customHeight="1" x14ac:dyDescent="0.25">
      <c r="A68" s="67" t="s">
        <v>29</v>
      </c>
      <c r="B68" s="713" t="s">
        <v>72</v>
      </c>
      <c r="C68" s="713"/>
      <c r="D68" s="713"/>
      <c r="E68" s="776"/>
      <c r="F68" s="776"/>
      <c r="G68" s="67"/>
      <c r="H68" s="67"/>
      <c r="I68" s="725">
        <f>E68*G68*H68</f>
        <v>0</v>
      </c>
      <c r="J68" s="725"/>
    </row>
    <row r="69" spans="1:10" ht="30" customHeight="1" x14ac:dyDescent="0.25">
      <c r="A69" s="67" t="s">
        <v>31</v>
      </c>
      <c r="B69" s="713" t="s">
        <v>73</v>
      </c>
      <c r="C69" s="713"/>
      <c r="D69" s="713"/>
      <c r="E69" s="776"/>
      <c r="F69" s="776"/>
      <c r="G69" s="67"/>
      <c r="H69" s="67"/>
      <c r="I69" s="725">
        <f>E69*G69*H69</f>
        <v>0</v>
      </c>
      <c r="J69" s="725"/>
    </row>
    <row r="70" spans="1:10" ht="30" customHeight="1" x14ac:dyDescent="0.25">
      <c r="A70" s="75" t="s">
        <v>75</v>
      </c>
      <c r="B70" s="730" t="s">
        <v>76</v>
      </c>
      <c r="C70" s="731"/>
      <c r="D70" s="732"/>
      <c r="E70" s="797"/>
      <c r="F70" s="797"/>
      <c r="G70" s="75"/>
      <c r="H70" s="75"/>
      <c r="I70" s="798">
        <f>E70*G70*H70</f>
        <v>0</v>
      </c>
      <c r="J70" s="798"/>
    </row>
    <row r="71" spans="1:10" ht="45" customHeight="1" x14ac:dyDescent="0.25">
      <c r="A71" s="75" t="s">
        <v>77</v>
      </c>
      <c r="B71" s="730" t="s">
        <v>69</v>
      </c>
      <c r="C71" s="731"/>
      <c r="D71" s="732"/>
      <c r="E71" s="797"/>
      <c r="F71" s="797"/>
      <c r="G71" s="75"/>
      <c r="H71" s="75"/>
      <c r="I71" s="798">
        <f>E71*G71*H71</f>
        <v>0</v>
      </c>
      <c r="J71" s="798"/>
    </row>
    <row r="72" spans="1:10" ht="15" customHeight="1" x14ac:dyDescent="0.25">
      <c r="A72" s="67"/>
      <c r="B72" s="779"/>
      <c r="C72" s="780"/>
      <c r="D72" s="781"/>
      <c r="E72" s="776"/>
      <c r="F72" s="776"/>
      <c r="G72" s="67"/>
      <c r="H72" s="67"/>
      <c r="I72" s="725"/>
      <c r="J72" s="725"/>
    </row>
    <row r="73" spans="1:10" ht="15" customHeight="1" x14ac:dyDescent="0.25">
      <c r="A73" s="67"/>
      <c r="B73" s="713" t="s">
        <v>13</v>
      </c>
      <c r="C73" s="713"/>
      <c r="D73" s="713"/>
      <c r="E73" s="714" t="s">
        <v>14</v>
      </c>
      <c r="F73" s="714"/>
      <c r="G73" s="67" t="s">
        <v>14</v>
      </c>
      <c r="H73" s="67" t="s">
        <v>14</v>
      </c>
      <c r="I73" s="726">
        <f>I66+I70+I71</f>
        <v>0</v>
      </c>
      <c r="J73" s="727"/>
    </row>
    <row r="75" spans="1:10" ht="15.75" customHeight="1" x14ac:dyDescent="0.25">
      <c r="A75" s="778" t="s">
        <v>297</v>
      </c>
      <c r="B75" s="778"/>
      <c r="C75" s="778"/>
      <c r="D75" s="778"/>
      <c r="E75" s="778"/>
      <c r="F75" s="778"/>
      <c r="G75" s="778"/>
      <c r="H75" s="778"/>
      <c r="I75" s="778"/>
      <c r="J75" s="778"/>
    </row>
    <row r="76" spans="1:10" ht="15.75" x14ac:dyDescent="0.25">
      <c r="A76" s="2"/>
    </row>
    <row r="77" spans="1:10" s="41" customFormat="1" ht="69" customHeight="1" x14ac:dyDescent="0.2">
      <c r="A77" s="69" t="s">
        <v>1</v>
      </c>
      <c r="B77" s="719" t="s">
        <v>15</v>
      </c>
      <c r="C77" s="719"/>
      <c r="D77" s="719"/>
      <c r="E77" s="745" t="s">
        <v>20</v>
      </c>
      <c r="F77" s="747"/>
      <c r="G77" s="69" t="s">
        <v>21</v>
      </c>
      <c r="H77" s="69" t="s">
        <v>22</v>
      </c>
      <c r="I77" s="719" t="s">
        <v>19</v>
      </c>
      <c r="J77" s="719"/>
    </row>
    <row r="78" spans="1:10" s="41" customFormat="1" ht="12.75" x14ac:dyDescent="0.2">
      <c r="A78" s="69">
        <v>1</v>
      </c>
      <c r="B78" s="719">
        <v>2</v>
      </c>
      <c r="C78" s="719"/>
      <c r="D78" s="719"/>
      <c r="E78" s="745">
        <v>3</v>
      </c>
      <c r="F78" s="747"/>
      <c r="G78" s="69">
        <v>4</v>
      </c>
      <c r="H78" s="69">
        <v>5</v>
      </c>
      <c r="I78" s="719">
        <v>6</v>
      </c>
      <c r="J78" s="719"/>
    </row>
    <row r="79" spans="1:10" ht="45" customHeight="1" x14ac:dyDescent="0.25">
      <c r="A79" s="81" t="s">
        <v>70</v>
      </c>
      <c r="B79" s="793" t="s">
        <v>79</v>
      </c>
      <c r="C79" s="794"/>
      <c r="D79" s="795"/>
      <c r="E79" s="748"/>
      <c r="F79" s="749"/>
      <c r="G79" s="67"/>
      <c r="H79" s="67">
        <v>85</v>
      </c>
      <c r="I79" s="725">
        <f>E79*G79*H79</f>
        <v>0</v>
      </c>
      <c r="J79" s="725"/>
    </row>
    <row r="80" spans="1:10" x14ac:dyDescent="0.25">
      <c r="A80" s="81"/>
      <c r="B80" s="796"/>
      <c r="C80" s="796"/>
      <c r="D80" s="796"/>
      <c r="E80" s="748"/>
      <c r="F80" s="749"/>
      <c r="G80" s="67"/>
      <c r="H80" s="67"/>
      <c r="I80" s="717"/>
      <c r="J80" s="717"/>
    </row>
    <row r="81" spans="1:10" x14ac:dyDescent="0.25">
      <c r="A81" s="81"/>
      <c r="B81" s="792" t="s">
        <v>13</v>
      </c>
      <c r="C81" s="792"/>
      <c r="D81" s="792"/>
      <c r="E81" s="748" t="s">
        <v>14</v>
      </c>
      <c r="F81" s="749"/>
      <c r="G81" s="67" t="s">
        <v>14</v>
      </c>
      <c r="H81" s="67" t="s">
        <v>14</v>
      </c>
      <c r="I81" s="726">
        <f>SUM(I79:J80)</f>
        <v>0</v>
      </c>
      <c r="J81" s="727"/>
    </row>
    <row r="83" spans="1:10" ht="51.75" customHeight="1" x14ac:dyDescent="0.25">
      <c r="A83" s="778" t="s">
        <v>298</v>
      </c>
      <c r="B83" s="778"/>
      <c r="C83" s="778"/>
      <c r="D83" s="778"/>
      <c r="E83" s="778"/>
      <c r="F83" s="778"/>
      <c r="G83" s="778"/>
      <c r="H83" s="778"/>
      <c r="I83" s="778"/>
      <c r="J83" s="778"/>
    </row>
    <row r="84" spans="1:10" ht="15.75" x14ac:dyDescent="0.25">
      <c r="A84" s="2"/>
    </row>
    <row r="85" spans="1:10" s="41" customFormat="1" ht="43.5" customHeight="1" x14ac:dyDescent="0.2">
      <c r="A85" s="69" t="s">
        <v>1</v>
      </c>
      <c r="B85" s="719" t="s">
        <v>23</v>
      </c>
      <c r="C85" s="719"/>
      <c r="D85" s="719"/>
      <c r="E85" s="719"/>
      <c r="F85" s="719"/>
      <c r="G85" s="719" t="s">
        <v>24</v>
      </c>
      <c r="H85" s="719"/>
      <c r="I85" s="719" t="s">
        <v>25</v>
      </c>
      <c r="J85" s="719"/>
    </row>
    <row r="86" spans="1:10" s="41" customFormat="1" ht="12.75" x14ac:dyDescent="0.2">
      <c r="A86" s="69">
        <v>1</v>
      </c>
      <c r="B86" s="719">
        <v>2</v>
      </c>
      <c r="C86" s="719"/>
      <c r="D86" s="719"/>
      <c r="E86" s="719"/>
      <c r="F86" s="719"/>
      <c r="G86" s="719">
        <v>3</v>
      </c>
      <c r="H86" s="719"/>
      <c r="I86" s="719">
        <v>4</v>
      </c>
      <c r="J86" s="719"/>
    </row>
    <row r="87" spans="1:10" ht="16.5" customHeight="1" x14ac:dyDescent="0.25">
      <c r="A87" s="75" t="s">
        <v>70</v>
      </c>
      <c r="B87" s="787" t="s">
        <v>26</v>
      </c>
      <c r="C87" s="787"/>
      <c r="D87" s="787"/>
      <c r="E87" s="787"/>
      <c r="F87" s="787"/>
      <c r="G87" s="775" t="s">
        <v>14</v>
      </c>
      <c r="H87" s="775"/>
      <c r="I87" s="789">
        <f>SUM(I89:J91)</f>
        <v>0</v>
      </c>
      <c r="J87" s="789"/>
    </row>
    <row r="88" spans="1:10" ht="15.75" customHeight="1" x14ac:dyDescent="0.25">
      <c r="A88" s="17"/>
      <c r="B88" s="748" t="s">
        <v>9</v>
      </c>
      <c r="C88" s="773"/>
      <c r="D88" s="773"/>
      <c r="E88" s="773"/>
      <c r="F88" s="749"/>
      <c r="G88" s="717"/>
      <c r="H88" s="717"/>
      <c r="I88" s="786"/>
      <c r="J88" s="786"/>
    </row>
    <row r="89" spans="1:10" ht="15.75" customHeight="1" x14ac:dyDescent="0.25">
      <c r="A89" s="67" t="s">
        <v>27</v>
      </c>
      <c r="B89" s="791" t="s">
        <v>28</v>
      </c>
      <c r="C89" s="791"/>
      <c r="D89" s="791"/>
      <c r="E89" s="791"/>
      <c r="F89" s="791"/>
      <c r="G89" s="790"/>
      <c r="H89" s="790"/>
      <c r="I89" s="786">
        <f>G89*22%</f>
        <v>0</v>
      </c>
      <c r="J89" s="786"/>
    </row>
    <row r="90" spans="1:10" ht="15.75" customHeight="1" x14ac:dyDescent="0.25">
      <c r="A90" s="67" t="s">
        <v>29</v>
      </c>
      <c r="B90" s="729" t="s">
        <v>30</v>
      </c>
      <c r="C90" s="729"/>
      <c r="D90" s="729"/>
      <c r="E90" s="729"/>
      <c r="F90" s="729"/>
      <c r="G90" s="717"/>
      <c r="H90" s="717"/>
      <c r="I90" s="786"/>
      <c r="J90" s="786"/>
    </row>
    <row r="91" spans="1:10" ht="31.5" customHeight="1" x14ac:dyDescent="0.25">
      <c r="A91" s="67" t="s">
        <v>31</v>
      </c>
      <c r="B91" s="785" t="s">
        <v>32</v>
      </c>
      <c r="C91" s="785"/>
      <c r="D91" s="785"/>
      <c r="E91" s="785"/>
      <c r="F91" s="785"/>
      <c r="G91" s="717"/>
      <c r="H91" s="717"/>
      <c r="I91" s="786"/>
      <c r="J91" s="786"/>
    </row>
    <row r="92" spans="1:10" ht="32.25" customHeight="1" x14ac:dyDescent="0.25">
      <c r="A92" s="75" t="s">
        <v>75</v>
      </c>
      <c r="B92" s="787" t="s">
        <v>33</v>
      </c>
      <c r="C92" s="787"/>
      <c r="D92" s="787"/>
      <c r="E92" s="787"/>
      <c r="F92" s="787"/>
      <c r="G92" s="775" t="s">
        <v>14</v>
      </c>
      <c r="H92" s="775"/>
      <c r="I92" s="789">
        <f>SUM(I94:J98)</f>
        <v>0</v>
      </c>
      <c r="J92" s="789"/>
    </row>
    <row r="93" spans="1:10" ht="15.75" customHeight="1" x14ac:dyDescent="0.25">
      <c r="A93" s="17"/>
      <c r="B93" s="748" t="s">
        <v>9</v>
      </c>
      <c r="C93" s="773"/>
      <c r="D93" s="773"/>
      <c r="E93" s="773"/>
      <c r="F93" s="749"/>
      <c r="G93" s="717"/>
      <c r="H93" s="717"/>
      <c r="I93" s="786"/>
      <c r="J93" s="786"/>
    </row>
    <row r="94" spans="1:10" ht="32.25" customHeight="1" x14ac:dyDescent="0.25">
      <c r="A94" s="67" t="s">
        <v>34</v>
      </c>
      <c r="B94" s="785" t="s">
        <v>35</v>
      </c>
      <c r="C94" s="785"/>
      <c r="D94" s="785"/>
      <c r="E94" s="785"/>
      <c r="F94" s="785"/>
      <c r="G94" s="790"/>
      <c r="H94" s="790"/>
      <c r="I94" s="786">
        <f>G94*2.9%</f>
        <v>0</v>
      </c>
      <c r="J94" s="786"/>
    </row>
    <row r="95" spans="1:10" ht="31.5" customHeight="1" x14ac:dyDescent="0.25">
      <c r="A95" s="67" t="s">
        <v>36</v>
      </c>
      <c r="B95" s="785" t="s">
        <v>37</v>
      </c>
      <c r="C95" s="785"/>
      <c r="D95" s="785"/>
      <c r="E95" s="785"/>
      <c r="F95" s="785"/>
      <c r="G95" s="717"/>
      <c r="H95" s="717"/>
      <c r="I95" s="786"/>
      <c r="J95" s="786"/>
    </row>
    <row r="96" spans="1:10" ht="31.5" customHeight="1" x14ac:dyDescent="0.25">
      <c r="A96" s="67" t="s">
        <v>38</v>
      </c>
      <c r="B96" s="785" t="s">
        <v>39</v>
      </c>
      <c r="C96" s="785"/>
      <c r="D96" s="785"/>
      <c r="E96" s="785"/>
      <c r="F96" s="785"/>
      <c r="G96" s="790"/>
      <c r="H96" s="790"/>
      <c r="I96" s="786">
        <f>G96*0.2%</f>
        <v>0</v>
      </c>
      <c r="J96" s="786"/>
    </row>
    <row r="97" spans="1:10" ht="31.5" customHeight="1" x14ac:dyDescent="0.25">
      <c r="A97" s="67" t="s">
        <v>40</v>
      </c>
      <c r="B97" s="785" t="s">
        <v>41</v>
      </c>
      <c r="C97" s="785"/>
      <c r="D97" s="785"/>
      <c r="E97" s="785"/>
      <c r="F97" s="785"/>
      <c r="G97" s="717"/>
      <c r="H97" s="717"/>
      <c r="I97" s="786"/>
      <c r="J97" s="786"/>
    </row>
    <row r="98" spans="1:10" ht="31.5" customHeight="1" x14ac:dyDescent="0.25">
      <c r="A98" s="67" t="s">
        <v>42</v>
      </c>
      <c r="B98" s="785" t="s">
        <v>41</v>
      </c>
      <c r="C98" s="785"/>
      <c r="D98" s="785"/>
      <c r="E98" s="785"/>
      <c r="F98" s="785"/>
      <c r="G98" s="717"/>
      <c r="H98" s="717"/>
      <c r="I98" s="786"/>
      <c r="J98" s="786"/>
    </row>
    <row r="99" spans="1:10" ht="31.5" customHeight="1" x14ac:dyDescent="0.25">
      <c r="A99" s="75" t="s">
        <v>77</v>
      </c>
      <c r="B99" s="787" t="s">
        <v>43</v>
      </c>
      <c r="C99" s="787"/>
      <c r="D99" s="787"/>
      <c r="E99" s="787"/>
      <c r="F99" s="787"/>
      <c r="G99" s="788"/>
      <c r="H99" s="788"/>
      <c r="I99" s="789">
        <f>G99*5.1%</f>
        <v>0</v>
      </c>
      <c r="J99" s="789"/>
    </row>
    <row r="100" spans="1:10" x14ac:dyDescent="0.25">
      <c r="A100" s="67"/>
      <c r="B100" s="713" t="s">
        <v>13</v>
      </c>
      <c r="C100" s="713"/>
      <c r="D100" s="713"/>
      <c r="E100" s="713"/>
      <c r="F100" s="713"/>
      <c r="G100" s="714" t="s">
        <v>14</v>
      </c>
      <c r="H100" s="714"/>
      <c r="I100" s="783">
        <f>I87+I92+I99</f>
        <v>0</v>
      </c>
      <c r="J100" s="783"/>
    </row>
    <row r="101" spans="1:10" ht="15.75" x14ac:dyDescent="0.25">
      <c r="A101" s="7"/>
    </row>
    <row r="102" spans="1:10" ht="42" customHeight="1" x14ac:dyDescent="0.25">
      <c r="A102" s="784" t="s">
        <v>205</v>
      </c>
      <c r="B102" s="784"/>
      <c r="C102" s="784"/>
      <c r="D102" s="784"/>
      <c r="E102" s="784"/>
      <c r="F102" s="784"/>
      <c r="G102" s="784"/>
      <c r="H102" s="784"/>
      <c r="I102" s="784"/>
      <c r="J102" s="784"/>
    </row>
    <row r="105" spans="1:10" ht="15.75" customHeight="1" x14ac:dyDescent="0.25">
      <c r="A105" s="778" t="s">
        <v>84</v>
      </c>
      <c r="B105" s="778"/>
      <c r="C105" s="778"/>
      <c r="D105" s="778"/>
      <c r="E105" s="778"/>
      <c r="F105" s="778"/>
      <c r="G105" s="778"/>
      <c r="H105" s="778"/>
      <c r="I105" s="778"/>
      <c r="J105" s="778"/>
    </row>
    <row r="106" spans="1:10" ht="15.75" x14ac:dyDescent="0.25">
      <c r="A106" s="2"/>
    </row>
    <row r="107" spans="1:10" ht="15.75" x14ac:dyDescent="0.25">
      <c r="A107" s="2" t="s">
        <v>80</v>
      </c>
      <c r="C107" s="3"/>
      <c r="D107" s="3"/>
      <c r="E107" s="3"/>
      <c r="F107" s="4"/>
      <c r="G107" s="4"/>
      <c r="H107" s="4"/>
      <c r="I107" s="4"/>
      <c r="J107" s="4"/>
    </row>
    <row r="108" spans="1:10" ht="15.75" x14ac:dyDescent="0.25">
      <c r="A108" s="2" t="s">
        <v>81</v>
      </c>
      <c r="E108" s="5"/>
      <c r="F108" s="6"/>
      <c r="G108" s="6"/>
      <c r="H108" s="6"/>
      <c r="I108" s="6"/>
      <c r="J108" s="6"/>
    </row>
    <row r="109" spans="1:10" ht="15.75" x14ac:dyDescent="0.25">
      <c r="A109" s="7"/>
    </row>
    <row r="110" spans="1:10" s="41" customFormat="1" ht="31.5" customHeight="1" x14ac:dyDescent="0.2">
      <c r="A110" s="69" t="s">
        <v>1</v>
      </c>
      <c r="B110" s="719" t="s">
        <v>44</v>
      </c>
      <c r="C110" s="719"/>
      <c r="D110" s="719"/>
      <c r="E110" s="719" t="s">
        <v>45</v>
      </c>
      <c r="F110" s="719"/>
      <c r="G110" s="719" t="s">
        <v>46</v>
      </c>
      <c r="H110" s="719"/>
      <c r="I110" s="719" t="s">
        <v>102</v>
      </c>
      <c r="J110" s="719"/>
    </row>
    <row r="111" spans="1:10" s="41" customFormat="1" ht="12.75" x14ac:dyDescent="0.2">
      <c r="A111" s="69">
        <v>1</v>
      </c>
      <c r="B111" s="719">
        <v>2</v>
      </c>
      <c r="C111" s="719"/>
      <c r="D111" s="719"/>
      <c r="E111" s="719">
        <v>3</v>
      </c>
      <c r="F111" s="719"/>
      <c r="G111" s="719">
        <v>4</v>
      </c>
      <c r="H111" s="719"/>
      <c r="I111" s="719">
        <v>5</v>
      </c>
      <c r="J111" s="719"/>
    </row>
    <row r="112" spans="1:10" x14ac:dyDescent="0.25">
      <c r="A112" s="67"/>
      <c r="B112" s="714"/>
      <c r="C112" s="714"/>
      <c r="D112" s="714"/>
      <c r="E112" s="714"/>
      <c r="F112" s="714"/>
      <c r="G112" s="714"/>
      <c r="H112" s="714"/>
      <c r="I112" s="714"/>
      <c r="J112" s="714"/>
    </row>
    <row r="113" spans="1:11" x14ac:dyDescent="0.25">
      <c r="A113" s="67"/>
      <c r="B113" s="714"/>
      <c r="C113" s="714"/>
      <c r="D113" s="714"/>
      <c r="E113" s="714"/>
      <c r="F113" s="714"/>
      <c r="G113" s="714"/>
      <c r="H113" s="714"/>
      <c r="I113" s="714"/>
      <c r="J113" s="714"/>
    </row>
    <row r="114" spans="1:11" x14ac:dyDescent="0.25">
      <c r="A114" s="67"/>
      <c r="B114" s="713" t="s">
        <v>13</v>
      </c>
      <c r="C114" s="713"/>
      <c r="D114" s="713"/>
      <c r="E114" s="714" t="s">
        <v>14</v>
      </c>
      <c r="F114" s="714"/>
      <c r="G114" s="714" t="s">
        <v>14</v>
      </c>
      <c r="H114" s="714"/>
      <c r="I114" s="714"/>
      <c r="J114" s="714"/>
    </row>
    <row r="115" spans="1:11" ht="15.75" x14ac:dyDescent="0.25">
      <c r="A115" s="7"/>
    </row>
    <row r="116" spans="1:11" ht="15.75" x14ac:dyDescent="0.25">
      <c r="A116" s="7"/>
    </row>
    <row r="117" spans="1:11" ht="18" customHeight="1" x14ac:dyDescent="0.25">
      <c r="A117" s="778" t="s">
        <v>303</v>
      </c>
      <c r="B117" s="778"/>
      <c r="C117" s="778"/>
      <c r="D117" s="778"/>
      <c r="E117" s="778"/>
      <c r="F117" s="778"/>
      <c r="G117" s="778"/>
      <c r="H117" s="778"/>
      <c r="I117" s="778"/>
      <c r="J117" s="778"/>
    </row>
    <row r="118" spans="1:11" ht="15.75" x14ac:dyDescent="0.25">
      <c r="A118" s="2"/>
    </row>
    <row r="119" spans="1:11" ht="15.75" x14ac:dyDescent="0.25">
      <c r="A119" s="2" t="s">
        <v>80</v>
      </c>
      <c r="C119" s="3">
        <v>851</v>
      </c>
      <c r="D119" s="3">
        <v>852</v>
      </c>
      <c r="E119" s="3">
        <v>853</v>
      </c>
      <c r="F119" s="3"/>
      <c r="G119" s="4"/>
      <c r="H119" s="4"/>
      <c r="I119" s="4"/>
      <c r="J119" s="4"/>
    </row>
    <row r="120" spans="1:11" ht="15.75" x14ac:dyDescent="0.25">
      <c r="A120" s="2" t="s">
        <v>81</v>
      </c>
      <c r="E120" s="5" t="s">
        <v>82</v>
      </c>
      <c r="F120" s="6"/>
      <c r="G120" s="5"/>
      <c r="H120" s="6"/>
      <c r="I120" s="6"/>
      <c r="J120" s="6"/>
    </row>
    <row r="121" spans="1:11" ht="15.75" x14ac:dyDescent="0.25">
      <c r="A121" s="2"/>
    </row>
    <row r="122" spans="1:11" s="41" customFormat="1" ht="54" customHeight="1" x14ac:dyDescent="0.2">
      <c r="A122" s="69" t="s">
        <v>1</v>
      </c>
      <c r="B122" s="719" t="s">
        <v>15</v>
      </c>
      <c r="C122" s="719"/>
      <c r="D122" s="719"/>
      <c r="E122" s="719" t="s">
        <v>47</v>
      </c>
      <c r="F122" s="719"/>
      <c r="G122" s="719" t="s">
        <v>48</v>
      </c>
      <c r="H122" s="719"/>
      <c r="I122" s="719" t="s">
        <v>103</v>
      </c>
      <c r="J122" s="719"/>
    </row>
    <row r="123" spans="1:11" s="41" customFormat="1" ht="12.75" x14ac:dyDescent="0.2">
      <c r="A123" s="69">
        <v>1</v>
      </c>
      <c r="B123" s="719">
        <v>2</v>
      </c>
      <c r="C123" s="719"/>
      <c r="D123" s="719"/>
      <c r="E123" s="719">
        <v>3</v>
      </c>
      <c r="F123" s="719"/>
      <c r="G123" s="719">
        <v>4</v>
      </c>
      <c r="H123" s="719"/>
      <c r="I123" s="719">
        <v>5</v>
      </c>
      <c r="J123" s="719"/>
    </row>
    <row r="124" spans="1:11" x14ac:dyDescent="0.25">
      <c r="A124" s="67" t="s">
        <v>70</v>
      </c>
      <c r="B124" s="779" t="s">
        <v>299</v>
      </c>
      <c r="C124" s="780"/>
      <c r="D124" s="781"/>
      <c r="E124" s="776"/>
      <c r="F124" s="714"/>
      <c r="G124" s="782">
        <v>2.2000000000000002</v>
      </c>
      <c r="H124" s="782"/>
      <c r="I124" s="725">
        <f>ROUND((E124*G124)/100,2)</f>
        <v>0</v>
      </c>
      <c r="J124" s="725"/>
      <c r="K124" s="1" t="s">
        <v>88</v>
      </c>
    </row>
    <row r="125" spans="1:11" x14ac:dyDescent="0.25">
      <c r="A125" s="67" t="s">
        <v>75</v>
      </c>
      <c r="B125" s="779" t="s">
        <v>300</v>
      </c>
      <c r="C125" s="780"/>
      <c r="D125" s="781"/>
      <c r="E125" s="714"/>
      <c r="F125" s="714"/>
      <c r="G125" s="714"/>
      <c r="H125" s="714"/>
      <c r="I125" s="725"/>
      <c r="J125" s="725"/>
      <c r="K125" s="1" t="s">
        <v>89</v>
      </c>
    </row>
    <row r="126" spans="1:11" ht="30" customHeight="1" x14ac:dyDescent="0.25">
      <c r="A126" s="67" t="s">
        <v>77</v>
      </c>
      <c r="B126" s="779" t="s">
        <v>301</v>
      </c>
      <c r="C126" s="780"/>
      <c r="D126" s="781"/>
      <c r="E126" s="714"/>
      <c r="F126" s="714"/>
      <c r="G126" s="714"/>
      <c r="H126" s="714"/>
      <c r="I126" s="725"/>
      <c r="J126" s="725"/>
      <c r="K126" s="1" t="s">
        <v>90</v>
      </c>
    </row>
    <row r="127" spans="1:11" ht="44.25" customHeight="1" x14ac:dyDescent="0.25">
      <c r="A127" s="67" t="s">
        <v>86</v>
      </c>
      <c r="B127" s="779" t="s">
        <v>302</v>
      </c>
      <c r="C127" s="780"/>
      <c r="D127" s="781"/>
      <c r="E127" s="714"/>
      <c r="F127" s="714"/>
      <c r="G127" s="714"/>
      <c r="H127" s="714"/>
      <c r="I127" s="725"/>
      <c r="J127" s="725"/>
      <c r="K127" s="1" t="s">
        <v>89</v>
      </c>
    </row>
    <row r="128" spans="1:11" x14ac:dyDescent="0.25">
      <c r="A128" s="67"/>
      <c r="B128" s="713" t="s">
        <v>13</v>
      </c>
      <c r="C128" s="713"/>
      <c r="D128" s="713"/>
      <c r="E128" s="714"/>
      <c r="F128" s="714"/>
      <c r="G128" s="714" t="s">
        <v>14</v>
      </c>
      <c r="H128" s="714"/>
      <c r="I128" s="726">
        <f>I124+I125+I126+I127</f>
        <v>0</v>
      </c>
      <c r="J128" s="727"/>
    </row>
    <row r="129" spans="1:10" ht="15.75" x14ac:dyDescent="0.25">
      <c r="A129" s="7"/>
    </row>
    <row r="130" spans="1:10" ht="15.75" x14ac:dyDescent="0.25">
      <c r="A130" s="7"/>
    </row>
    <row r="131" spans="1:10" ht="15.75" customHeight="1" x14ac:dyDescent="0.25">
      <c r="A131" s="778" t="s">
        <v>85</v>
      </c>
      <c r="B131" s="778"/>
      <c r="C131" s="778"/>
      <c r="D131" s="778"/>
      <c r="E131" s="778"/>
      <c r="F131" s="778"/>
      <c r="G131" s="778"/>
      <c r="H131" s="778"/>
      <c r="I131" s="778"/>
      <c r="J131" s="778"/>
    </row>
    <row r="132" spans="1:10" ht="15.75" x14ac:dyDescent="0.25">
      <c r="A132" s="2"/>
    </row>
    <row r="133" spans="1:10" ht="15.75" x14ac:dyDescent="0.25">
      <c r="A133" s="2" t="s">
        <v>80</v>
      </c>
      <c r="C133" s="3"/>
      <c r="D133" s="3"/>
      <c r="E133" s="3"/>
      <c r="F133" s="4"/>
      <c r="G133" s="4"/>
      <c r="H133" s="4"/>
      <c r="I133" s="4"/>
      <c r="J133" s="4"/>
    </row>
    <row r="134" spans="1:10" ht="15.75" x14ac:dyDescent="0.25">
      <c r="A134" s="2" t="s">
        <v>81</v>
      </c>
      <c r="E134" s="5"/>
      <c r="F134" s="6"/>
      <c r="G134" s="6"/>
      <c r="H134" s="6"/>
      <c r="I134" s="6"/>
      <c r="J134" s="6"/>
    </row>
    <row r="135" spans="1:10" ht="15.75" x14ac:dyDescent="0.25">
      <c r="A135" s="2"/>
    </row>
    <row r="136" spans="1:10" s="41" customFormat="1" ht="30" customHeight="1" x14ac:dyDescent="0.2">
      <c r="A136" s="69" t="s">
        <v>1</v>
      </c>
      <c r="B136" s="719" t="s">
        <v>44</v>
      </c>
      <c r="C136" s="719"/>
      <c r="D136" s="719"/>
      <c r="E136" s="719" t="s">
        <v>45</v>
      </c>
      <c r="F136" s="719"/>
      <c r="G136" s="719" t="s">
        <v>46</v>
      </c>
      <c r="H136" s="719"/>
      <c r="I136" s="719" t="s">
        <v>102</v>
      </c>
      <c r="J136" s="719"/>
    </row>
    <row r="137" spans="1:10" s="41" customFormat="1" ht="12.75" x14ac:dyDescent="0.2">
      <c r="A137" s="69">
        <v>1</v>
      </c>
      <c r="B137" s="719">
        <v>2</v>
      </c>
      <c r="C137" s="719"/>
      <c r="D137" s="719"/>
      <c r="E137" s="719">
        <v>3</v>
      </c>
      <c r="F137" s="719"/>
      <c r="G137" s="719">
        <v>4</v>
      </c>
      <c r="H137" s="719"/>
      <c r="I137" s="719">
        <v>5</v>
      </c>
      <c r="J137" s="719"/>
    </row>
    <row r="138" spans="1:10" x14ac:dyDescent="0.25">
      <c r="A138" s="67"/>
      <c r="B138" s="714"/>
      <c r="C138" s="714"/>
      <c r="D138" s="714"/>
      <c r="E138" s="714"/>
      <c r="F138" s="714"/>
      <c r="G138" s="714"/>
      <c r="H138" s="714"/>
      <c r="I138" s="714"/>
      <c r="J138" s="714"/>
    </row>
    <row r="139" spans="1:10" x14ac:dyDescent="0.25">
      <c r="A139" s="67"/>
      <c r="B139" s="714"/>
      <c r="C139" s="714"/>
      <c r="D139" s="714"/>
      <c r="E139" s="714"/>
      <c r="F139" s="714"/>
      <c r="G139" s="714"/>
      <c r="H139" s="714"/>
      <c r="I139" s="714"/>
      <c r="J139" s="714"/>
    </row>
    <row r="140" spans="1:10" x14ac:dyDescent="0.25">
      <c r="A140" s="67"/>
      <c r="B140" s="713" t="s">
        <v>13</v>
      </c>
      <c r="C140" s="713"/>
      <c r="D140" s="713"/>
      <c r="E140" s="714" t="s">
        <v>14</v>
      </c>
      <c r="F140" s="714"/>
      <c r="G140" s="714" t="s">
        <v>14</v>
      </c>
      <c r="H140" s="714"/>
      <c r="I140" s="714"/>
      <c r="J140" s="714"/>
    </row>
    <row r="141" spans="1:10" ht="15.75" x14ac:dyDescent="0.25">
      <c r="A141" s="7"/>
    </row>
    <row r="142" spans="1:10" ht="15.75" x14ac:dyDescent="0.25">
      <c r="A142" s="7"/>
    </row>
    <row r="143" spans="1:10" ht="15.75" x14ac:dyDescent="0.25">
      <c r="A143" s="728" t="s">
        <v>91</v>
      </c>
      <c r="B143" s="728"/>
      <c r="C143" s="728"/>
      <c r="D143" s="728"/>
      <c r="E143" s="728"/>
      <c r="F143" s="728"/>
      <c r="G143" s="728"/>
      <c r="H143" s="728"/>
      <c r="I143" s="728"/>
      <c r="J143" s="728"/>
    </row>
    <row r="144" spans="1:10" ht="15.75" x14ac:dyDescent="0.25">
      <c r="A144" s="2"/>
    </row>
    <row r="145" spans="1:10" ht="15.75" x14ac:dyDescent="0.25">
      <c r="A145" s="2" t="s">
        <v>80</v>
      </c>
      <c r="C145" s="3"/>
      <c r="D145" s="3"/>
      <c r="E145" s="3"/>
      <c r="F145" s="4"/>
      <c r="G145" s="4"/>
      <c r="H145" s="4"/>
      <c r="I145" s="4"/>
      <c r="J145" s="4"/>
    </row>
    <row r="146" spans="1:10" ht="15.75" x14ac:dyDescent="0.25">
      <c r="A146" s="2" t="s">
        <v>81</v>
      </c>
      <c r="E146" s="5"/>
      <c r="F146" s="6"/>
      <c r="G146" s="5"/>
      <c r="H146" s="6"/>
      <c r="I146" s="6"/>
      <c r="J146" s="6"/>
    </row>
    <row r="147" spans="1:10" ht="15.75" x14ac:dyDescent="0.25">
      <c r="A147" s="2"/>
    </row>
    <row r="148" spans="1:10" s="41" customFormat="1" ht="30" customHeight="1" x14ac:dyDescent="0.2">
      <c r="A148" s="69" t="s">
        <v>1</v>
      </c>
      <c r="B148" s="719" t="s">
        <v>44</v>
      </c>
      <c r="C148" s="719"/>
      <c r="D148" s="719"/>
      <c r="E148" s="719" t="s">
        <v>45</v>
      </c>
      <c r="F148" s="719"/>
      <c r="G148" s="719" t="s">
        <v>46</v>
      </c>
      <c r="H148" s="719"/>
      <c r="I148" s="719" t="s">
        <v>102</v>
      </c>
      <c r="J148" s="719"/>
    </row>
    <row r="149" spans="1:10" s="41" customFormat="1" ht="12.75" x14ac:dyDescent="0.2">
      <c r="A149" s="69">
        <v>1</v>
      </c>
      <c r="B149" s="719">
        <v>2</v>
      </c>
      <c r="C149" s="719"/>
      <c r="D149" s="719"/>
      <c r="E149" s="719">
        <v>3</v>
      </c>
      <c r="F149" s="719"/>
      <c r="G149" s="719">
        <v>4</v>
      </c>
      <c r="H149" s="719"/>
      <c r="I149" s="719">
        <v>5</v>
      </c>
      <c r="J149" s="719"/>
    </row>
    <row r="150" spans="1:10" x14ac:dyDescent="0.25">
      <c r="A150" s="67"/>
      <c r="B150" s="714"/>
      <c r="C150" s="714"/>
      <c r="D150" s="714"/>
      <c r="E150" s="714"/>
      <c r="F150" s="714"/>
      <c r="G150" s="714"/>
      <c r="H150" s="714"/>
      <c r="I150" s="714"/>
      <c r="J150" s="714"/>
    </row>
    <row r="151" spans="1:10" x14ac:dyDescent="0.25">
      <c r="A151" s="67"/>
      <c r="B151" s="714"/>
      <c r="C151" s="714"/>
      <c r="D151" s="714"/>
      <c r="E151" s="714"/>
      <c r="F151" s="714"/>
      <c r="G151" s="714"/>
      <c r="H151" s="714"/>
      <c r="I151" s="714"/>
      <c r="J151" s="714"/>
    </row>
    <row r="152" spans="1:10" x14ac:dyDescent="0.25">
      <c r="A152" s="67"/>
      <c r="B152" s="713" t="s">
        <v>13</v>
      </c>
      <c r="C152" s="713"/>
      <c r="D152" s="713"/>
      <c r="E152" s="714" t="s">
        <v>14</v>
      </c>
      <c r="F152" s="714"/>
      <c r="G152" s="714" t="s">
        <v>14</v>
      </c>
      <c r="H152" s="714"/>
      <c r="I152" s="714"/>
      <c r="J152" s="714"/>
    </row>
    <row r="153" spans="1:10" ht="15.75" x14ac:dyDescent="0.25">
      <c r="A153" s="7"/>
    </row>
    <row r="154" spans="1:10" ht="15.75" x14ac:dyDescent="0.25">
      <c r="A154" s="7"/>
    </row>
    <row r="155" spans="1:10" ht="15.75" x14ac:dyDescent="0.25">
      <c r="A155" s="728" t="s">
        <v>49</v>
      </c>
      <c r="B155" s="728"/>
      <c r="C155" s="728"/>
      <c r="D155" s="728"/>
      <c r="E155" s="728"/>
      <c r="F155" s="728"/>
      <c r="G155" s="728"/>
      <c r="H155" s="728"/>
      <c r="I155" s="728"/>
      <c r="J155" s="728"/>
    </row>
    <row r="156" spans="1:10" ht="15.75" x14ac:dyDescent="0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</row>
    <row r="157" spans="1:10" ht="15.75" x14ac:dyDescent="0.25">
      <c r="A157" s="2" t="s">
        <v>80</v>
      </c>
      <c r="C157" s="3">
        <v>244</v>
      </c>
      <c r="D157" s="3"/>
      <c r="E157" s="3"/>
      <c r="F157" s="4"/>
      <c r="G157" s="4"/>
      <c r="H157" s="4"/>
      <c r="I157" s="4"/>
      <c r="J157" s="4"/>
    </row>
    <row r="158" spans="1:10" ht="15.75" x14ac:dyDescent="0.25">
      <c r="A158" s="2" t="s">
        <v>81</v>
      </c>
      <c r="E158" s="5" t="s">
        <v>82</v>
      </c>
      <c r="F158" s="6"/>
      <c r="G158" s="5" t="s">
        <v>195</v>
      </c>
      <c r="H158" s="6"/>
      <c r="I158" s="6"/>
      <c r="J158" s="6"/>
    </row>
    <row r="159" spans="1:10" ht="15.75" customHeight="1" x14ac:dyDescent="0.25">
      <c r="A159" s="7"/>
    </row>
    <row r="160" spans="1:10" ht="15.75" x14ac:dyDescent="0.25">
      <c r="A160" s="728" t="s">
        <v>304</v>
      </c>
      <c r="B160" s="728"/>
      <c r="C160" s="728"/>
      <c r="D160" s="728"/>
      <c r="E160" s="728"/>
      <c r="F160" s="728"/>
      <c r="G160" s="728"/>
      <c r="H160" s="728"/>
      <c r="I160" s="728"/>
      <c r="J160" s="728"/>
    </row>
    <row r="161" spans="1:10" ht="15.75" x14ac:dyDescent="0.25">
      <c r="A161" s="8"/>
    </row>
    <row r="162" spans="1:10" s="41" customFormat="1" ht="45" customHeight="1" x14ac:dyDescent="0.2">
      <c r="A162" s="69" t="s">
        <v>1</v>
      </c>
      <c r="B162" s="719" t="s">
        <v>15</v>
      </c>
      <c r="C162" s="719"/>
      <c r="D162" s="719"/>
      <c r="E162" s="69" t="s">
        <v>50</v>
      </c>
      <c r="F162" s="69" t="s">
        <v>51</v>
      </c>
      <c r="G162" s="719" t="s">
        <v>52</v>
      </c>
      <c r="H162" s="719"/>
      <c r="I162" s="719" t="s">
        <v>104</v>
      </c>
      <c r="J162" s="719"/>
    </row>
    <row r="163" spans="1:10" s="41" customFormat="1" ht="12.75" x14ac:dyDescent="0.2">
      <c r="A163" s="69">
        <v>1</v>
      </c>
      <c r="B163" s="719">
        <v>2</v>
      </c>
      <c r="C163" s="719"/>
      <c r="D163" s="719"/>
      <c r="E163" s="69">
        <v>3</v>
      </c>
      <c r="F163" s="69">
        <v>4</v>
      </c>
      <c r="G163" s="719">
        <v>5</v>
      </c>
      <c r="H163" s="719"/>
      <c r="I163" s="719">
        <v>6</v>
      </c>
      <c r="J163" s="719"/>
    </row>
    <row r="164" spans="1:10" x14ac:dyDescent="0.25">
      <c r="A164" s="67" t="s">
        <v>70</v>
      </c>
      <c r="B164" s="729" t="s">
        <v>92</v>
      </c>
      <c r="C164" s="729"/>
      <c r="D164" s="729"/>
      <c r="E164" s="67"/>
      <c r="F164" s="67">
        <v>12</v>
      </c>
      <c r="G164" s="777"/>
      <c r="H164" s="777"/>
      <c r="I164" s="725">
        <f>E164*F164*G164</f>
        <v>0</v>
      </c>
      <c r="J164" s="725"/>
    </row>
    <row r="165" spans="1:10" ht="30" customHeight="1" x14ac:dyDescent="0.25">
      <c r="A165" s="67" t="s">
        <v>75</v>
      </c>
      <c r="B165" s="729" t="s">
        <v>93</v>
      </c>
      <c r="C165" s="729"/>
      <c r="D165" s="729"/>
      <c r="E165" s="67"/>
      <c r="F165" s="67">
        <v>12</v>
      </c>
      <c r="G165" s="777"/>
      <c r="H165" s="777"/>
      <c r="I165" s="725">
        <f>E165*F165*G165</f>
        <v>0</v>
      </c>
      <c r="J165" s="725"/>
    </row>
    <row r="166" spans="1:10" ht="30" customHeight="1" x14ac:dyDescent="0.25">
      <c r="A166" s="67" t="s">
        <v>94</v>
      </c>
      <c r="B166" s="729" t="s">
        <v>95</v>
      </c>
      <c r="C166" s="729"/>
      <c r="D166" s="729"/>
      <c r="E166" s="67">
        <v>1</v>
      </c>
      <c r="F166" s="67">
        <v>12</v>
      </c>
      <c r="G166" s="776"/>
      <c r="H166" s="776"/>
      <c r="I166" s="725">
        <f>E166*F166*G166</f>
        <v>0</v>
      </c>
      <c r="J166" s="725"/>
    </row>
    <row r="167" spans="1:10" ht="45.75" customHeight="1" x14ac:dyDescent="0.25">
      <c r="A167" s="67" t="s">
        <v>86</v>
      </c>
      <c r="B167" s="729" t="s">
        <v>96</v>
      </c>
      <c r="C167" s="729"/>
      <c r="D167" s="729"/>
      <c r="E167" s="67">
        <v>1</v>
      </c>
      <c r="F167" s="67">
        <v>1</v>
      </c>
      <c r="G167" s="776"/>
      <c r="H167" s="776"/>
      <c r="I167" s="725">
        <f t="shared" ref="I167:I169" si="8">E167*F167*G167</f>
        <v>0</v>
      </c>
      <c r="J167" s="725"/>
    </row>
    <row r="168" spans="1:10" ht="60" customHeight="1" x14ac:dyDescent="0.25">
      <c r="A168" s="67" t="s">
        <v>87</v>
      </c>
      <c r="B168" s="729" t="s">
        <v>98</v>
      </c>
      <c r="C168" s="729"/>
      <c r="D168" s="729"/>
      <c r="E168" s="67">
        <v>1</v>
      </c>
      <c r="F168" s="67">
        <v>1</v>
      </c>
      <c r="G168" s="776"/>
      <c r="H168" s="776"/>
      <c r="I168" s="725">
        <f t="shared" si="8"/>
        <v>0</v>
      </c>
      <c r="J168" s="725"/>
    </row>
    <row r="169" spans="1:10" ht="60" customHeight="1" x14ac:dyDescent="0.25">
      <c r="A169" s="67" t="s">
        <v>97</v>
      </c>
      <c r="B169" s="729" t="s">
        <v>99</v>
      </c>
      <c r="C169" s="729"/>
      <c r="D169" s="729"/>
      <c r="E169" s="67">
        <v>1</v>
      </c>
      <c r="F169" s="67">
        <v>1</v>
      </c>
      <c r="G169" s="776"/>
      <c r="H169" s="776"/>
      <c r="I169" s="725">
        <f t="shared" si="8"/>
        <v>0</v>
      </c>
      <c r="J169" s="725"/>
    </row>
    <row r="170" spans="1:10" ht="30" customHeight="1" x14ac:dyDescent="0.25">
      <c r="A170" s="67" t="s">
        <v>116</v>
      </c>
      <c r="B170" s="729" t="s">
        <v>199</v>
      </c>
      <c r="C170" s="729"/>
      <c r="D170" s="729"/>
      <c r="E170" s="67">
        <v>1</v>
      </c>
      <c r="F170" s="67">
        <v>10</v>
      </c>
      <c r="G170" s="513"/>
      <c r="H170" s="513"/>
      <c r="I170" s="725">
        <f>E170*F170*G170</f>
        <v>0</v>
      </c>
      <c r="J170" s="725"/>
    </row>
    <row r="171" spans="1:10" x14ac:dyDescent="0.25">
      <c r="A171" s="67"/>
      <c r="B171" s="729"/>
      <c r="C171" s="729"/>
      <c r="D171" s="729"/>
      <c r="E171" s="67"/>
      <c r="F171" s="67"/>
      <c r="G171" s="714"/>
      <c r="H171" s="714"/>
      <c r="I171" s="714"/>
      <c r="J171" s="714"/>
    </row>
    <row r="172" spans="1:10" x14ac:dyDescent="0.25">
      <c r="A172" s="67"/>
      <c r="B172" s="713" t="s">
        <v>13</v>
      </c>
      <c r="C172" s="713"/>
      <c r="D172" s="713"/>
      <c r="E172" s="67" t="s">
        <v>14</v>
      </c>
      <c r="F172" s="67" t="s">
        <v>14</v>
      </c>
      <c r="G172" s="714" t="s">
        <v>14</v>
      </c>
      <c r="H172" s="714"/>
      <c r="I172" s="726">
        <f>SUM(I164:J171)</f>
        <v>0</v>
      </c>
      <c r="J172" s="727"/>
    </row>
    <row r="173" spans="1:10" ht="15.75" x14ac:dyDescent="0.25">
      <c r="A173" s="7"/>
    </row>
    <row r="174" spans="1:10" ht="15.75" x14ac:dyDescent="0.25">
      <c r="A174" s="728" t="s">
        <v>288</v>
      </c>
      <c r="B174" s="728"/>
      <c r="C174" s="728"/>
      <c r="D174" s="728"/>
      <c r="E174" s="728"/>
      <c r="F174" s="728"/>
      <c r="G174" s="728"/>
      <c r="H174" s="728"/>
      <c r="I174" s="728"/>
      <c r="J174" s="728"/>
    </row>
    <row r="175" spans="1:10" ht="15.75" x14ac:dyDescent="0.25">
      <c r="A175" s="8"/>
    </row>
    <row r="176" spans="1:10" s="41" customFormat="1" ht="30" customHeight="1" x14ac:dyDescent="0.2">
      <c r="A176" s="69" t="s">
        <v>1</v>
      </c>
      <c r="B176" s="719" t="s">
        <v>15</v>
      </c>
      <c r="C176" s="719"/>
      <c r="D176" s="719"/>
      <c r="E176" s="719" t="s">
        <v>53</v>
      </c>
      <c r="F176" s="719"/>
      <c r="G176" s="719" t="s">
        <v>54</v>
      </c>
      <c r="H176" s="719"/>
      <c r="I176" s="719" t="s">
        <v>264</v>
      </c>
      <c r="J176" s="719"/>
    </row>
    <row r="177" spans="1:10" s="41" customFormat="1" ht="12.75" x14ac:dyDescent="0.2">
      <c r="A177" s="69">
        <v>1</v>
      </c>
      <c r="B177" s="719">
        <v>2</v>
      </c>
      <c r="C177" s="719"/>
      <c r="D177" s="719"/>
      <c r="E177" s="719">
        <v>3</v>
      </c>
      <c r="F177" s="719"/>
      <c r="G177" s="719">
        <v>4</v>
      </c>
      <c r="H177" s="719"/>
      <c r="I177" s="719">
        <v>5</v>
      </c>
      <c r="J177" s="719"/>
    </row>
    <row r="178" spans="1:10" x14ac:dyDescent="0.25">
      <c r="A178" s="67"/>
      <c r="B178" s="714"/>
      <c r="C178" s="714"/>
      <c r="D178" s="714"/>
      <c r="E178" s="714"/>
      <c r="F178" s="714"/>
      <c r="G178" s="714"/>
      <c r="H178" s="714"/>
      <c r="I178" s="714"/>
      <c r="J178" s="714"/>
    </row>
    <row r="179" spans="1:10" x14ac:dyDescent="0.25">
      <c r="A179" s="67"/>
      <c r="B179" s="714"/>
      <c r="C179" s="714"/>
      <c r="D179" s="714"/>
      <c r="E179" s="714"/>
      <c r="F179" s="714"/>
      <c r="G179" s="714"/>
      <c r="H179" s="714"/>
      <c r="I179" s="714"/>
      <c r="J179" s="714"/>
    </row>
    <row r="180" spans="1:10" x14ac:dyDescent="0.25">
      <c r="A180" s="67"/>
      <c r="B180" s="713" t="s">
        <v>13</v>
      </c>
      <c r="C180" s="713"/>
      <c r="D180" s="713"/>
      <c r="E180" s="714"/>
      <c r="F180" s="714"/>
      <c r="G180" s="714"/>
      <c r="H180" s="714"/>
      <c r="I180" s="714"/>
      <c r="J180" s="714"/>
    </row>
    <row r="181" spans="1:10" ht="15.75" x14ac:dyDescent="0.25">
      <c r="A181" s="7"/>
    </row>
    <row r="182" spans="1:10" ht="15.75" x14ac:dyDescent="0.25">
      <c r="A182" s="728" t="s">
        <v>284</v>
      </c>
      <c r="B182" s="728"/>
      <c r="C182" s="728"/>
      <c r="D182" s="728"/>
      <c r="E182" s="728"/>
      <c r="F182" s="728"/>
      <c r="G182" s="728"/>
      <c r="H182" s="728"/>
      <c r="I182" s="728"/>
      <c r="J182" s="728"/>
    </row>
    <row r="183" spans="1:10" ht="15.75" x14ac:dyDescent="0.25">
      <c r="A183" s="8"/>
    </row>
    <row r="184" spans="1:10" s="41" customFormat="1" ht="45" customHeight="1" x14ac:dyDescent="0.2">
      <c r="A184" s="69" t="s">
        <v>1</v>
      </c>
      <c r="B184" s="719" t="s">
        <v>44</v>
      </c>
      <c r="C184" s="719"/>
      <c r="D184" s="719"/>
      <c r="E184" s="69" t="s">
        <v>55</v>
      </c>
      <c r="F184" s="719" t="s">
        <v>56</v>
      </c>
      <c r="G184" s="719"/>
      <c r="H184" s="69" t="s">
        <v>57</v>
      </c>
      <c r="I184" s="719" t="s">
        <v>104</v>
      </c>
      <c r="J184" s="719"/>
    </row>
    <row r="185" spans="1:10" s="41" customFormat="1" ht="12.75" x14ac:dyDescent="0.2">
      <c r="A185" s="69">
        <v>1</v>
      </c>
      <c r="B185" s="719">
        <v>2</v>
      </c>
      <c r="C185" s="719"/>
      <c r="D185" s="719"/>
      <c r="E185" s="69">
        <v>3</v>
      </c>
      <c r="F185" s="719">
        <v>4</v>
      </c>
      <c r="G185" s="719"/>
      <c r="H185" s="69">
        <v>5</v>
      </c>
      <c r="I185" s="719">
        <v>6</v>
      </c>
      <c r="J185" s="719"/>
    </row>
    <row r="186" spans="1:10" ht="30" customHeight="1" x14ac:dyDescent="0.25">
      <c r="A186" s="75" t="s">
        <v>70</v>
      </c>
      <c r="B186" s="730" t="s">
        <v>151</v>
      </c>
      <c r="C186" s="731"/>
      <c r="D186" s="732"/>
      <c r="E186" s="80">
        <f>E187+E188</f>
        <v>0</v>
      </c>
      <c r="F186" s="9"/>
      <c r="G186" s="9"/>
      <c r="H186" s="10">
        <f>F188/F187-100%</f>
        <v>5.4001501904199944E-2</v>
      </c>
      <c r="I186" s="774">
        <f>I187+I188</f>
        <v>0</v>
      </c>
      <c r="J186" s="775"/>
    </row>
    <row r="187" spans="1:10" ht="15" customHeight="1" x14ac:dyDescent="0.25">
      <c r="A187" s="67"/>
      <c r="B187" s="714" t="s">
        <v>100</v>
      </c>
      <c r="C187" s="714"/>
      <c r="D187" s="714"/>
      <c r="E187" s="73"/>
      <c r="F187" s="78">
        <v>1491.44</v>
      </c>
      <c r="G187" s="78">
        <f>F187*1.18</f>
        <v>1759.8992000000001</v>
      </c>
      <c r="H187" s="67"/>
      <c r="I187" s="725">
        <f>ROUND(E187*G187,2)</f>
        <v>0</v>
      </c>
      <c r="J187" s="725"/>
    </row>
    <row r="188" spans="1:10" ht="15" customHeight="1" x14ac:dyDescent="0.25">
      <c r="A188" s="67"/>
      <c r="B188" s="714" t="s">
        <v>101</v>
      </c>
      <c r="C188" s="714"/>
      <c r="D188" s="714"/>
      <c r="E188" s="73"/>
      <c r="F188" s="78">
        <v>1571.98</v>
      </c>
      <c r="G188" s="78">
        <f>F188*1.18</f>
        <v>1854.9363999999998</v>
      </c>
      <c r="H188" s="67"/>
      <c r="I188" s="725">
        <f>ROUND(E188*G188,2)</f>
        <v>0</v>
      </c>
      <c r="J188" s="725"/>
    </row>
    <row r="189" spans="1:10" ht="29.25" customHeight="1" x14ac:dyDescent="0.25">
      <c r="A189" s="75" t="s">
        <v>75</v>
      </c>
      <c r="B189" s="730" t="s">
        <v>152</v>
      </c>
      <c r="C189" s="731"/>
      <c r="D189" s="732"/>
      <c r="E189" s="80">
        <f>E190+E191</f>
        <v>0</v>
      </c>
      <c r="F189" s="9"/>
      <c r="G189" s="9"/>
      <c r="H189" s="10">
        <f>F191/F190-100%</f>
        <v>5.0501367365542338E-2</v>
      </c>
      <c r="I189" s="774">
        <f>I190+I191</f>
        <v>0</v>
      </c>
      <c r="J189" s="775"/>
    </row>
    <row r="190" spans="1:10" ht="15" customHeight="1" x14ac:dyDescent="0.25">
      <c r="A190" s="67"/>
      <c r="B190" s="714" t="s">
        <v>100</v>
      </c>
      <c r="C190" s="714"/>
      <c r="D190" s="714"/>
      <c r="E190" s="73"/>
      <c r="F190" s="78">
        <v>109.7</v>
      </c>
      <c r="G190" s="78">
        <f>F190*1.18</f>
        <v>129.446</v>
      </c>
      <c r="H190" s="67"/>
      <c r="I190" s="725">
        <f>ROUND(E190*G190,2)</f>
        <v>0</v>
      </c>
      <c r="J190" s="725"/>
    </row>
    <row r="191" spans="1:10" ht="15" customHeight="1" x14ac:dyDescent="0.25">
      <c r="A191" s="67"/>
      <c r="B191" s="714" t="s">
        <v>101</v>
      </c>
      <c r="C191" s="714"/>
      <c r="D191" s="714"/>
      <c r="E191" s="73"/>
      <c r="F191" s="78">
        <v>115.24</v>
      </c>
      <c r="G191" s="78">
        <f>F191*1.18</f>
        <v>135.98319999999998</v>
      </c>
      <c r="H191" s="67"/>
      <c r="I191" s="725">
        <f>ROUND(E191*G191,2)</f>
        <v>0</v>
      </c>
      <c r="J191" s="725"/>
    </row>
    <row r="192" spans="1:10" ht="30" customHeight="1" x14ac:dyDescent="0.25">
      <c r="A192" s="75" t="s">
        <v>77</v>
      </c>
      <c r="B192" s="730" t="s">
        <v>153</v>
      </c>
      <c r="C192" s="731"/>
      <c r="D192" s="732"/>
      <c r="E192" s="80">
        <f>E193+E194</f>
        <v>0</v>
      </c>
      <c r="F192" s="9"/>
      <c r="G192" s="9"/>
      <c r="H192" s="10">
        <f>F194/F193-100%</f>
        <v>4.430538172715881E-2</v>
      </c>
      <c r="I192" s="774">
        <f>I193+I194</f>
        <v>0</v>
      </c>
      <c r="J192" s="775"/>
    </row>
    <row r="193" spans="1:10" ht="15" customHeight="1" x14ac:dyDescent="0.25">
      <c r="A193" s="67"/>
      <c r="B193" s="714" t="s">
        <v>100</v>
      </c>
      <c r="C193" s="714"/>
      <c r="D193" s="714"/>
      <c r="E193" s="73"/>
      <c r="F193" s="78">
        <v>39.950000000000003</v>
      </c>
      <c r="G193" s="78">
        <f>F193*1.18</f>
        <v>47.140999999999998</v>
      </c>
      <c r="H193" s="67"/>
      <c r="I193" s="725">
        <f>ROUND(E193*G193,2)</f>
        <v>0</v>
      </c>
      <c r="J193" s="725"/>
    </row>
    <row r="194" spans="1:10" ht="15" customHeight="1" x14ac:dyDescent="0.25">
      <c r="A194" s="67"/>
      <c r="B194" s="714" t="s">
        <v>101</v>
      </c>
      <c r="C194" s="714"/>
      <c r="D194" s="714"/>
      <c r="E194" s="73"/>
      <c r="F194" s="78">
        <v>41.72</v>
      </c>
      <c r="G194" s="78">
        <f>F194*1.18</f>
        <v>49.229599999999998</v>
      </c>
      <c r="H194" s="67"/>
      <c r="I194" s="725">
        <f>ROUND(E194*G194,2)</f>
        <v>0</v>
      </c>
      <c r="J194" s="725"/>
    </row>
    <row r="195" spans="1:10" ht="29.25" customHeight="1" x14ac:dyDescent="0.25">
      <c r="A195" s="75" t="s">
        <v>86</v>
      </c>
      <c r="B195" s="730" t="s">
        <v>154</v>
      </c>
      <c r="C195" s="731"/>
      <c r="D195" s="732"/>
      <c r="E195" s="80">
        <f>E196+E197</f>
        <v>0</v>
      </c>
      <c r="F195" s="9"/>
      <c r="G195" s="9"/>
      <c r="H195" s="10">
        <f>F197/F196-100%</f>
        <v>5.1196670135275735E-2</v>
      </c>
      <c r="I195" s="774">
        <f>I196+I197</f>
        <v>0</v>
      </c>
      <c r="J195" s="775"/>
    </row>
    <row r="196" spans="1:10" ht="15" customHeight="1" x14ac:dyDescent="0.25">
      <c r="A196" s="67"/>
      <c r="B196" s="714" t="s">
        <v>100</v>
      </c>
      <c r="C196" s="714"/>
      <c r="D196" s="714"/>
      <c r="E196" s="73">
        <f>E190+E193</f>
        <v>0</v>
      </c>
      <c r="F196" s="78">
        <v>48.05</v>
      </c>
      <c r="G196" s="78">
        <f>F196*1.18</f>
        <v>56.698999999999991</v>
      </c>
      <c r="H196" s="67"/>
      <c r="I196" s="725">
        <f>ROUND(E196*G196,2)</f>
        <v>0</v>
      </c>
      <c r="J196" s="725"/>
    </row>
    <row r="197" spans="1:10" ht="15" customHeight="1" x14ac:dyDescent="0.25">
      <c r="A197" s="67"/>
      <c r="B197" s="714" t="s">
        <v>101</v>
      </c>
      <c r="C197" s="714"/>
      <c r="D197" s="714"/>
      <c r="E197" s="73">
        <f>E191+E194</f>
        <v>0</v>
      </c>
      <c r="F197" s="78">
        <v>50.51</v>
      </c>
      <c r="G197" s="78">
        <f>F197*1.18</f>
        <v>59.601799999999997</v>
      </c>
      <c r="H197" s="67"/>
      <c r="I197" s="725">
        <f>ROUND(E197*G197,2)</f>
        <v>0</v>
      </c>
      <c r="J197" s="725"/>
    </row>
    <row r="198" spans="1:10" ht="30" customHeight="1" x14ac:dyDescent="0.25">
      <c r="A198" s="75" t="s">
        <v>87</v>
      </c>
      <c r="B198" s="730" t="s">
        <v>155</v>
      </c>
      <c r="C198" s="731"/>
      <c r="D198" s="732"/>
      <c r="E198" s="80">
        <f>E199+E200</f>
        <v>0</v>
      </c>
      <c r="F198" s="9"/>
      <c r="G198" s="9"/>
      <c r="H198" s="10">
        <f>F200/F199-100%</f>
        <v>-0.10130467674525312</v>
      </c>
      <c r="I198" s="774">
        <f>I199+I200</f>
        <v>0</v>
      </c>
      <c r="J198" s="775"/>
    </row>
    <row r="199" spans="1:10" ht="15" customHeight="1" x14ac:dyDescent="0.25">
      <c r="A199" s="67"/>
      <c r="B199" s="714" t="s">
        <v>100</v>
      </c>
      <c r="C199" s="714"/>
      <c r="D199" s="714"/>
      <c r="E199" s="73"/>
      <c r="F199" s="78">
        <v>4837.9799999999996</v>
      </c>
      <c r="G199" s="78">
        <f>F199*1.18</f>
        <v>5708.8163999999988</v>
      </c>
      <c r="H199" s="67"/>
      <c r="I199" s="725">
        <f>ROUND(E199*G199,2)</f>
        <v>0</v>
      </c>
      <c r="J199" s="725"/>
    </row>
    <row r="200" spans="1:10" ht="15" customHeight="1" x14ac:dyDescent="0.25">
      <c r="A200" s="67"/>
      <c r="B200" s="714" t="s">
        <v>101</v>
      </c>
      <c r="C200" s="714"/>
      <c r="D200" s="714"/>
      <c r="E200" s="73"/>
      <c r="F200" s="78">
        <v>4347.87</v>
      </c>
      <c r="G200" s="78">
        <f>F200*1.18</f>
        <v>5130.4865999999993</v>
      </c>
      <c r="H200" s="67"/>
      <c r="I200" s="725">
        <f>ROUND(E200*G200,2)</f>
        <v>0</v>
      </c>
      <c r="J200" s="725"/>
    </row>
    <row r="201" spans="1:10" ht="15" customHeight="1" x14ac:dyDescent="0.25">
      <c r="A201" s="67"/>
      <c r="B201" s="714"/>
      <c r="C201" s="714"/>
      <c r="D201" s="714"/>
      <c r="E201" s="73"/>
      <c r="F201" s="78"/>
      <c r="G201" s="78"/>
      <c r="H201" s="67"/>
      <c r="I201" s="714"/>
      <c r="J201" s="714"/>
    </row>
    <row r="202" spans="1:10" ht="15" customHeight="1" x14ac:dyDescent="0.25">
      <c r="A202" s="67"/>
      <c r="B202" s="713" t="s">
        <v>13</v>
      </c>
      <c r="C202" s="713"/>
      <c r="D202" s="713"/>
      <c r="E202" s="67" t="s">
        <v>14</v>
      </c>
      <c r="F202" s="714" t="s">
        <v>14</v>
      </c>
      <c r="G202" s="714"/>
      <c r="H202" s="67" t="s">
        <v>14</v>
      </c>
      <c r="I202" s="726">
        <f>I186+I189+I192+I195+I198+I201</f>
        <v>0</v>
      </c>
      <c r="J202" s="727"/>
    </row>
    <row r="203" spans="1:10" ht="15.75" x14ac:dyDescent="0.25">
      <c r="A203" s="7"/>
    </row>
    <row r="204" spans="1:10" ht="15.75" x14ac:dyDescent="0.25">
      <c r="A204" s="728" t="s">
        <v>289</v>
      </c>
      <c r="B204" s="728"/>
      <c r="C204" s="728"/>
      <c r="D204" s="728"/>
      <c r="E204" s="728"/>
      <c r="F204" s="728"/>
      <c r="G204" s="728"/>
      <c r="H204" s="728"/>
      <c r="I204" s="728"/>
      <c r="J204" s="728"/>
    </row>
    <row r="205" spans="1:10" ht="15.75" x14ac:dyDescent="0.25">
      <c r="A205" s="2"/>
    </row>
    <row r="206" spans="1:10" s="41" customFormat="1" ht="31.5" customHeight="1" x14ac:dyDescent="0.2">
      <c r="A206" s="69" t="s">
        <v>1</v>
      </c>
      <c r="B206" s="719" t="s">
        <v>44</v>
      </c>
      <c r="C206" s="719"/>
      <c r="D206" s="719"/>
      <c r="E206" s="719" t="s">
        <v>58</v>
      </c>
      <c r="F206" s="719"/>
      <c r="G206" s="719" t="s">
        <v>59</v>
      </c>
      <c r="H206" s="719"/>
      <c r="I206" s="719" t="s">
        <v>60</v>
      </c>
      <c r="J206" s="719"/>
    </row>
    <row r="207" spans="1:10" s="41" customFormat="1" ht="12.75" x14ac:dyDescent="0.2">
      <c r="A207" s="69">
        <v>1</v>
      </c>
      <c r="B207" s="719">
        <v>2</v>
      </c>
      <c r="C207" s="719"/>
      <c r="D207" s="719"/>
      <c r="E207" s="719">
        <v>3</v>
      </c>
      <c r="F207" s="719"/>
      <c r="G207" s="719">
        <v>4</v>
      </c>
      <c r="H207" s="719"/>
      <c r="I207" s="719">
        <v>5</v>
      </c>
      <c r="J207" s="719"/>
    </row>
    <row r="208" spans="1:10" ht="15" customHeight="1" x14ac:dyDescent="0.25">
      <c r="A208" s="67"/>
      <c r="B208" s="748"/>
      <c r="C208" s="773"/>
      <c r="D208" s="749"/>
      <c r="E208" s="714"/>
      <c r="F208" s="714"/>
      <c r="G208" s="714"/>
      <c r="H208" s="714"/>
      <c r="I208" s="714"/>
      <c r="J208" s="714"/>
    </row>
    <row r="209" spans="1:12" x14ac:dyDescent="0.25">
      <c r="A209" s="67"/>
      <c r="B209" s="714"/>
      <c r="C209" s="714"/>
      <c r="D209" s="714"/>
      <c r="E209" s="714"/>
      <c r="F209" s="714"/>
      <c r="G209" s="714"/>
      <c r="H209" s="714"/>
      <c r="I209" s="714"/>
      <c r="J209" s="714"/>
    </row>
    <row r="210" spans="1:12" x14ac:dyDescent="0.25">
      <c r="A210" s="67"/>
      <c r="B210" s="713" t="s">
        <v>13</v>
      </c>
      <c r="C210" s="713"/>
      <c r="D210" s="713"/>
      <c r="E210" s="714" t="s">
        <v>14</v>
      </c>
      <c r="F210" s="714"/>
      <c r="G210" s="714" t="s">
        <v>14</v>
      </c>
      <c r="H210" s="714"/>
      <c r="I210" s="714"/>
      <c r="J210" s="714"/>
    </row>
    <row r="211" spans="1:12" ht="15.75" x14ac:dyDescent="0.25">
      <c r="A211" s="7"/>
    </row>
    <row r="212" spans="1:12" ht="15.75" x14ac:dyDescent="0.25">
      <c r="A212" s="728" t="s">
        <v>285</v>
      </c>
      <c r="B212" s="728"/>
      <c r="C212" s="728"/>
      <c r="D212" s="728"/>
      <c r="E212" s="728"/>
      <c r="F212" s="728"/>
      <c r="G212" s="728"/>
      <c r="H212" s="728"/>
      <c r="I212" s="728"/>
      <c r="J212" s="728"/>
    </row>
    <row r="213" spans="1:12" ht="15.75" x14ac:dyDescent="0.25">
      <c r="A213" s="2"/>
    </row>
    <row r="214" spans="1:12" s="41" customFormat="1" ht="19.5" customHeight="1" x14ac:dyDescent="0.2">
      <c r="A214" s="763" t="s">
        <v>1</v>
      </c>
      <c r="B214" s="765" t="s">
        <v>15</v>
      </c>
      <c r="C214" s="766"/>
      <c r="D214" s="767"/>
      <c r="E214" s="763" t="s">
        <v>61</v>
      </c>
      <c r="F214" s="763" t="s">
        <v>62</v>
      </c>
      <c r="G214" s="719" t="s">
        <v>63</v>
      </c>
      <c r="H214" s="719"/>
      <c r="I214" s="719"/>
      <c r="J214" s="719"/>
      <c r="K214" s="495"/>
      <c r="L214" s="495"/>
    </row>
    <row r="215" spans="1:12" s="41" customFormat="1" ht="30" customHeight="1" x14ac:dyDescent="0.2">
      <c r="A215" s="764"/>
      <c r="B215" s="768"/>
      <c r="C215" s="769"/>
      <c r="D215" s="770"/>
      <c r="E215" s="764"/>
      <c r="F215" s="764"/>
      <c r="G215" s="69" t="s">
        <v>308</v>
      </c>
      <c r="H215" s="69" t="s">
        <v>305</v>
      </c>
      <c r="I215" s="76" t="s">
        <v>306</v>
      </c>
      <c r="J215" s="69" t="s">
        <v>307</v>
      </c>
      <c r="K215" s="42"/>
      <c r="L215" s="43"/>
    </row>
    <row r="216" spans="1:12" s="41" customFormat="1" ht="12.75" x14ac:dyDescent="0.2">
      <c r="A216" s="69">
        <v>1</v>
      </c>
      <c r="B216" s="719">
        <v>2</v>
      </c>
      <c r="C216" s="719"/>
      <c r="D216" s="719"/>
      <c r="E216" s="69">
        <v>3</v>
      </c>
      <c r="F216" s="69">
        <v>4</v>
      </c>
      <c r="G216" s="745">
        <v>5</v>
      </c>
      <c r="H216" s="746"/>
      <c r="I216" s="746"/>
      <c r="J216" s="747"/>
    </row>
    <row r="217" spans="1:12" ht="44.25" customHeight="1" x14ac:dyDescent="0.25">
      <c r="A217" s="67" t="s">
        <v>70</v>
      </c>
      <c r="B217" s="729" t="s">
        <v>105</v>
      </c>
      <c r="C217" s="729"/>
      <c r="D217" s="729"/>
      <c r="E217" s="67">
        <v>1</v>
      </c>
      <c r="F217" s="67">
        <v>1</v>
      </c>
      <c r="G217" s="67" t="s">
        <v>124</v>
      </c>
      <c r="H217" s="67"/>
      <c r="I217" s="83"/>
      <c r="J217" s="77">
        <f>ROUND(H217*I217,0)</f>
        <v>0</v>
      </c>
      <c r="K217" s="11"/>
      <c r="L217" s="11"/>
    </row>
    <row r="218" spans="1:12" ht="30" customHeight="1" x14ac:dyDescent="0.25">
      <c r="A218" s="67" t="s">
        <v>75</v>
      </c>
      <c r="B218" s="772" t="s">
        <v>106</v>
      </c>
      <c r="C218" s="772"/>
      <c r="D218" s="772"/>
      <c r="E218" s="67">
        <v>1</v>
      </c>
      <c r="F218" s="67">
        <v>1</v>
      </c>
      <c r="G218" s="67" t="s">
        <v>124</v>
      </c>
      <c r="H218" s="67"/>
      <c r="I218" s="83"/>
      <c r="J218" s="77">
        <f t="shared" ref="J218:J234" si="9">ROUND(H218*I218,0)</f>
        <v>0</v>
      </c>
      <c r="K218" s="11"/>
      <c r="L218" s="11"/>
    </row>
    <row r="219" spans="1:12" ht="60" customHeight="1" x14ac:dyDescent="0.25">
      <c r="A219" s="67" t="s">
        <v>77</v>
      </c>
      <c r="B219" s="772" t="s">
        <v>252</v>
      </c>
      <c r="C219" s="772"/>
      <c r="D219" s="772"/>
      <c r="E219" s="67">
        <v>1</v>
      </c>
      <c r="F219" s="67">
        <v>1</v>
      </c>
      <c r="G219" s="67" t="s">
        <v>124</v>
      </c>
      <c r="H219" s="67"/>
      <c r="I219" s="83"/>
      <c r="J219" s="77">
        <f t="shared" si="9"/>
        <v>0</v>
      </c>
      <c r="K219" s="11"/>
      <c r="L219" s="11"/>
    </row>
    <row r="220" spans="1:12" ht="30" customHeight="1" x14ac:dyDescent="0.25">
      <c r="A220" s="67" t="s">
        <v>86</v>
      </c>
      <c r="B220" s="772" t="s">
        <v>107</v>
      </c>
      <c r="C220" s="772"/>
      <c r="D220" s="772"/>
      <c r="E220" s="67">
        <v>1</v>
      </c>
      <c r="F220" s="67">
        <v>1</v>
      </c>
      <c r="G220" s="67" t="s">
        <v>124</v>
      </c>
      <c r="H220" s="67"/>
      <c r="I220" s="83"/>
      <c r="J220" s="77">
        <f t="shared" si="9"/>
        <v>0</v>
      </c>
      <c r="K220" s="11"/>
      <c r="L220" s="11"/>
    </row>
    <row r="221" spans="1:12" ht="45" customHeight="1" x14ac:dyDescent="0.25">
      <c r="A221" s="67" t="s">
        <v>87</v>
      </c>
      <c r="B221" s="772" t="s">
        <v>108</v>
      </c>
      <c r="C221" s="772"/>
      <c r="D221" s="772"/>
      <c r="E221" s="67">
        <v>1</v>
      </c>
      <c r="F221" s="67">
        <v>1</v>
      </c>
      <c r="G221" s="67" t="s">
        <v>124</v>
      </c>
      <c r="H221" s="67"/>
      <c r="I221" s="83"/>
      <c r="J221" s="77">
        <f t="shared" si="9"/>
        <v>0</v>
      </c>
      <c r="K221" s="11"/>
      <c r="L221" s="11"/>
    </row>
    <row r="222" spans="1:12" ht="30" customHeight="1" x14ac:dyDescent="0.25">
      <c r="A222" s="67" t="s">
        <v>97</v>
      </c>
      <c r="B222" s="772" t="s">
        <v>115</v>
      </c>
      <c r="C222" s="772"/>
      <c r="D222" s="772"/>
      <c r="E222" s="67">
        <v>1</v>
      </c>
      <c r="F222" s="67">
        <v>1</v>
      </c>
      <c r="G222" s="67" t="s">
        <v>124</v>
      </c>
      <c r="H222" s="67"/>
      <c r="I222" s="83"/>
      <c r="J222" s="77">
        <f t="shared" si="9"/>
        <v>0</v>
      </c>
      <c r="K222" s="11"/>
      <c r="L222" s="11"/>
    </row>
    <row r="223" spans="1:12" ht="30" customHeight="1" x14ac:dyDescent="0.25">
      <c r="A223" s="67" t="s">
        <v>116</v>
      </c>
      <c r="B223" s="772" t="s">
        <v>114</v>
      </c>
      <c r="C223" s="772"/>
      <c r="D223" s="772"/>
      <c r="E223" s="67">
        <v>1</v>
      </c>
      <c r="F223" s="67">
        <v>1</v>
      </c>
      <c r="G223" s="67" t="s">
        <v>124</v>
      </c>
      <c r="H223" s="67"/>
      <c r="I223" s="83"/>
      <c r="J223" s="77">
        <f t="shared" si="9"/>
        <v>0</v>
      </c>
      <c r="K223" s="11"/>
      <c r="L223" s="11"/>
    </row>
    <row r="224" spans="1:12" ht="30" customHeight="1" x14ac:dyDescent="0.25">
      <c r="A224" s="67" t="s">
        <v>117</v>
      </c>
      <c r="B224" s="772" t="s">
        <v>109</v>
      </c>
      <c r="C224" s="772"/>
      <c r="D224" s="772"/>
      <c r="E224" s="67">
        <v>1</v>
      </c>
      <c r="F224" s="67">
        <v>1</v>
      </c>
      <c r="G224" s="67" t="s">
        <v>124</v>
      </c>
      <c r="H224" s="67"/>
      <c r="I224" s="83"/>
      <c r="J224" s="77">
        <f t="shared" si="9"/>
        <v>0</v>
      </c>
      <c r="K224" s="11"/>
      <c r="L224" s="11"/>
    </row>
    <row r="225" spans="1:12" ht="30" customHeight="1" x14ac:dyDescent="0.25">
      <c r="A225" s="67" t="s">
        <v>118</v>
      </c>
      <c r="B225" s="772" t="s">
        <v>110</v>
      </c>
      <c r="C225" s="772"/>
      <c r="D225" s="772"/>
      <c r="E225" s="67">
        <v>1</v>
      </c>
      <c r="F225" s="67">
        <v>1</v>
      </c>
      <c r="G225" s="67" t="s">
        <v>124</v>
      </c>
      <c r="H225" s="67"/>
      <c r="I225" s="83"/>
      <c r="J225" s="77">
        <f t="shared" si="9"/>
        <v>0</v>
      </c>
      <c r="K225" s="11"/>
      <c r="L225" s="11"/>
    </row>
    <row r="226" spans="1:12" ht="30" customHeight="1" x14ac:dyDescent="0.25">
      <c r="A226" s="67" t="s">
        <v>119</v>
      </c>
      <c r="B226" s="772" t="s">
        <v>111</v>
      </c>
      <c r="C226" s="772"/>
      <c r="D226" s="772"/>
      <c r="E226" s="67">
        <v>1</v>
      </c>
      <c r="F226" s="67">
        <v>1</v>
      </c>
      <c r="G226" s="67" t="s">
        <v>125</v>
      </c>
      <c r="H226" s="67"/>
      <c r="I226" s="83"/>
      <c r="J226" s="77">
        <f t="shared" si="9"/>
        <v>0</v>
      </c>
      <c r="K226" s="11"/>
      <c r="L226" s="11"/>
    </row>
    <row r="227" spans="1:12" ht="45" customHeight="1" x14ac:dyDescent="0.25">
      <c r="A227" s="67" t="s">
        <v>120</v>
      </c>
      <c r="B227" s="772" t="s">
        <v>253</v>
      </c>
      <c r="C227" s="772"/>
      <c r="D227" s="772"/>
      <c r="E227" s="67">
        <v>1</v>
      </c>
      <c r="F227" s="67">
        <v>1</v>
      </c>
      <c r="G227" s="67" t="s">
        <v>123</v>
      </c>
      <c r="H227" s="67"/>
      <c r="I227" s="83"/>
      <c r="J227" s="77">
        <f t="shared" si="9"/>
        <v>0</v>
      </c>
      <c r="K227" s="11"/>
      <c r="L227" s="11"/>
    </row>
    <row r="228" spans="1:12" ht="30" customHeight="1" x14ac:dyDescent="0.25">
      <c r="A228" s="67" t="s">
        <v>121</v>
      </c>
      <c r="B228" s="729" t="s">
        <v>112</v>
      </c>
      <c r="C228" s="729"/>
      <c r="D228" s="729"/>
      <c r="E228" s="67">
        <v>1</v>
      </c>
      <c r="F228" s="67">
        <v>1</v>
      </c>
      <c r="G228" s="67" t="s">
        <v>126</v>
      </c>
      <c r="H228" s="67"/>
      <c r="I228" s="83"/>
      <c r="J228" s="77">
        <f t="shared" si="9"/>
        <v>0</v>
      </c>
      <c r="K228" s="11"/>
      <c r="L228" s="11"/>
    </row>
    <row r="229" spans="1:12" ht="30" customHeight="1" x14ac:dyDescent="0.25">
      <c r="A229" s="67" t="s">
        <v>122</v>
      </c>
      <c r="B229" s="729" t="s">
        <v>113</v>
      </c>
      <c r="C229" s="729"/>
      <c r="D229" s="729"/>
      <c r="E229" s="67">
        <v>1</v>
      </c>
      <c r="F229" s="67">
        <v>1</v>
      </c>
      <c r="G229" s="67" t="s">
        <v>309</v>
      </c>
      <c r="H229" s="67"/>
      <c r="I229" s="83"/>
      <c r="J229" s="77">
        <f t="shared" si="9"/>
        <v>0</v>
      </c>
      <c r="K229" s="11"/>
      <c r="L229" s="11"/>
    </row>
    <row r="230" spans="1:12" ht="30" customHeight="1" x14ac:dyDescent="0.25">
      <c r="A230" s="67" t="s">
        <v>131</v>
      </c>
      <c r="B230" s="729" t="s">
        <v>127</v>
      </c>
      <c r="C230" s="729"/>
      <c r="D230" s="729"/>
      <c r="E230" s="67">
        <v>1</v>
      </c>
      <c r="F230" s="67">
        <v>1</v>
      </c>
      <c r="G230" s="67" t="s">
        <v>309</v>
      </c>
      <c r="H230" s="67"/>
      <c r="I230" s="83"/>
      <c r="J230" s="77">
        <f t="shared" si="9"/>
        <v>0</v>
      </c>
      <c r="K230" s="11"/>
      <c r="L230" s="11"/>
    </row>
    <row r="231" spans="1:12" ht="30" customHeight="1" x14ac:dyDescent="0.25">
      <c r="A231" s="67" t="s">
        <v>132</v>
      </c>
      <c r="B231" s="729" t="s">
        <v>128</v>
      </c>
      <c r="C231" s="729"/>
      <c r="D231" s="729"/>
      <c r="E231" s="67">
        <v>1</v>
      </c>
      <c r="F231" s="67">
        <v>1</v>
      </c>
      <c r="G231" s="67" t="s">
        <v>309</v>
      </c>
      <c r="H231" s="67"/>
      <c r="I231" s="83"/>
      <c r="J231" s="77">
        <f t="shared" si="9"/>
        <v>0</v>
      </c>
      <c r="K231" s="11"/>
      <c r="L231" s="11"/>
    </row>
    <row r="232" spans="1:12" ht="30" customHeight="1" x14ac:dyDescent="0.25">
      <c r="A232" s="67" t="s">
        <v>133</v>
      </c>
      <c r="B232" s="729" t="s">
        <v>129</v>
      </c>
      <c r="C232" s="729"/>
      <c r="D232" s="729"/>
      <c r="E232" s="67">
        <v>1</v>
      </c>
      <c r="F232" s="67">
        <v>1</v>
      </c>
      <c r="G232" s="67" t="s">
        <v>309</v>
      </c>
      <c r="H232" s="67"/>
      <c r="I232" s="83"/>
      <c r="J232" s="77">
        <f t="shared" si="9"/>
        <v>0</v>
      </c>
      <c r="K232" s="11"/>
      <c r="L232" s="11"/>
    </row>
    <row r="233" spans="1:12" ht="30" customHeight="1" x14ac:dyDescent="0.25">
      <c r="A233" s="67" t="s">
        <v>134</v>
      </c>
      <c r="B233" s="729" t="s">
        <v>130</v>
      </c>
      <c r="C233" s="729"/>
      <c r="D233" s="729"/>
      <c r="E233" s="67">
        <v>1</v>
      </c>
      <c r="F233" s="67">
        <v>1</v>
      </c>
      <c r="G233" s="67" t="s">
        <v>309</v>
      </c>
      <c r="H233" s="67"/>
      <c r="I233" s="83"/>
      <c r="J233" s="77">
        <f t="shared" si="9"/>
        <v>0</v>
      </c>
      <c r="K233" s="11"/>
      <c r="L233" s="11"/>
    </row>
    <row r="234" spans="1:12" ht="30" customHeight="1" x14ac:dyDescent="0.25">
      <c r="A234" s="67"/>
      <c r="B234" s="729"/>
      <c r="C234" s="729"/>
      <c r="D234" s="729"/>
      <c r="E234" s="67"/>
      <c r="F234" s="67"/>
      <c r="G234" s="77"/>
      <c r="H234" s="67"/>
      <c r="I234" s="83"/>
      <c r="J234" s="77">
        <f t="shared" si="9"/>
        <v>0</v>
      </c>
      <c r="K234" s="11"/>
      <c r="L234" s="11"/>
    </row>
    <row r="235" spans="1:12" x14ac:dyDescent="0.25">
      <c r="A235" s="67"/>
      <c r="B235" s="713" t="s">
        <v>13</v>
      </c>
      <c r="C235" s="713"/>
      <c r="D235" s="713"/>
      <c r="E235" s="67" t="s">
        <v>14</v>
      </c>
      <c r="F235" s="67" t="s">
        <v>14</v>
      </c>
      <c r="G235" s="743">
        <f>SUM(J217:J234)</f>
        <v>0</v>
      </c>
      <c r="H235" s="744"/>
      <c r="I235" s="744"/>
      <c r="J235" s="744"/>
      <c r="K235" s="11"/>
      <c r="L235" s="11"/>
    </row>
    <row r="236" spans="1:12" ht="15.75" x14ac:dyDescent="0.25">
      <c r="A236" s="7"/>
    </row>
    <row r="237" spans="1:12" ht="15.75" x14ac:dyDescent="0.25">
      <c r="A237" s="728" t="s">
        <v>290</v>
      </c>
      <c r="B237" s="728"/>
      <c r="C237" s="728"/>
      <c r="D237" s="728"/>
      <c r="E237" s="728"/>
      <c r="F237" s="728"/>
      <c r="G237" s="728"/>
      <c r="H237" s="728"/>
      <c r="I237" s="728"/>
      <c r="J237" s="728"/>
    </row>
    <row r="238" spans="1:12" ht="15.75" x14ac:dyDescent="0.25">
      <c r="A238" s="2"/>
      <c r="K238" s="495"/>
      <c r="L238" s="495"/>
    </row>
    <row r="239" spans="1:12" s="41" customFormat="1" ht="30.75" customHeight="1" x14ac:dyDescent="0.2">
      <c r="A239" s="763" t="s">
        <v>1</v>
      </c>
      <c r="B239" s="765" t="s">
        <v>15</v>
      </c>
      <c r="C239" s="766"/>
      <c r="D239" s="767"/>
      <c r="E239" s="765" t="s">
        <v>64</v>
      </c>
      <c r="F239" s="767"/>
      <c r="G239" s="719" t="s">
        <v>65</v>
      </c>
      <c r="H239" s="719"/>
      <c r="I239" s="719"/>
      <c r="J239" s="719"/>
      <c r="K239" s="42"/>
      <c r="L239" s="43"/>
    </row>
    <row r="240" spans="1:12" s="41" customFormat="1" ht="30.75" customHeight="1" x14ac:dyDescent="0.2">
      <c r="A240" s="764"/>
      <c r="B240" s="768"/>
      <c r="C240" s="769"/>
      <c r="D240" s="770"/>
      <c r="E240" s="768"/>
      <c r="F240" s="770"/>
      <c r="G240" s="69" t="s">
        <v>308</v>
      </c>
      <c r="H240" s="69" t="s">
        <v>305</v>
      </c>
      <c r="I240" s="69" t="s">
        <v>306</v>
      </c>
      <c r="J240" s="69" t="s">
        <v>307</v>
      </c>
      <c r="K240" s="42"/>
      <c r="L240" s="43"/>
    </row>
    <row r="241" spans="1:12" s="41" customFormat="1" ht="12.75" x14ac:dyDescent="0.2">
      <c r="A241" s="69">
        <v>1</v>
      </c>
      <c r="B241" s="719">
        <v>2</v>
      </c>
      <c r="C241" s="719"/>
      <c r="D241" s="719"/>
      <c r="E241" s="745">
        <v>3</v>
      </c>
      <c r="F241" s="747"/>
      <c r="G241" s="719">
        <v>4</v>
      </c>
      <c r="H241" s="719"/>
      <c r="I241" s="719"/>
      <c r="J241" s="719"/>
    </row>
    <row r="242" spans="1:12" ht="30" customHeight="1" x14ac:dyDescent="0.25">
      <c r="A242" s="67" t="s">
        <v>70</v>
      </c>
      <c r="B242" s="729" t="s">
        <v>135</v>
      </c>
      <c r="C242" s="729"/>
      <c r="D242" s="729"/>
      <c r="E242" s="748">
        <v>1</v>
      </c>
      <c r="F242" s="749"/>
      <c r="G242" s="67" t="s">
        <v>124</v>
      </c>
      <c r="H242" s="67"/>
      <c r="I242" s="87"/>
      <c r="J242" s="77">
        <f>ROUND(H242*I242,0)</f>
        <v>0</v>
      </c>
      <c r="K242" s="11"/>
      <c r="L242" s="11"/>
    </row>
    <row r="243" spans="1:12" ht="30" customHeight="1" x14ac:dyDescent="0.25">
      <c r="A243" s="750" t="s">
        <v>75</v>
      </c>
      <c r="B243" s="752" t="s">
        <v>144</v>
      </c>
      <c r="C243" s="753"/>
      <c r="D243" s="754"/>
      <c r="E243" s="758">
        <v>1</v>
      </c>
      <c r="F243" s="759"/>
      <c r="G243" s="67" t="s">
        <v>124</v>
      </c>
      <c r="H243" s="67"/>
      <c r="I243" s="87"/>
      <c r="J243" s="77">
        <f t="shared" ref="J243:J261" si="10">ROUND(H243*I243,0)</f>
        <v>0</v>
      </c>
      <c r="K243" s="762"/>
      <c r="L243" s="771"/>
    </row>
    <row r="244" spans="1:12" ht="30" customHeight="1" x14ac:dyDescent="0.25">
      <c r="A244" s="751"/>
      <c r="B244" s="755"/>
      <c r="C244" s="756"/>
      <c r="D244" s="757"/>
      <c r="E244" s="760"/>
      <c r="F244" s="761"/>
      <c r="G244" s="67" t="s">
        <v>124</v>
      </c>
      <c r="H244" s="67"/>
      <c r="I244" s="87"/>
      <c r="J244" s="77">
        <f t="shared" si="10"/>
        <v>0</v>
      </c>
      <c r="K244" s="762"/>
      <c r="L244" s="771"/>
    </row>
    <row r="245" spans="1:12" ht="45" customHeight="1" x14ac:dyDescent="0.25">
      <c r="A245" s="67" t="s">
        <v>77</v>
      </c>
      <c r="B245" s="729" t="s">
        <v>136</v>
      </c>
      <c r="C245" s="729"/>
      <c r="D245" s="729"/>
      <c r="E245" s="748">
        <v>1</v>
      </c>
      <c r="F245" s="749"/>
      <c r="G245" s="67" t="s">
        <v>124</v>
      </c>
      <c r="H245" s="67"/>
      <c r="I245" s="87"/>
      <c r="J245" s="77">
        <f t="shared" si="10"/>
        <v>0</v>
      </c>
      <c r="K245" s="11"/>
      <c r="L245" s="11"/>
    </row>
    <row r="246" spans="1:12" ht="45" customHeight="1" x14ac:dyDescent="0.25">
      <c r="A246" s="67" t="s">
        <v>86</v>
      </c>
      <c r="B246" s="729" t="s">
        <v>147</v>
      </c>
      <c r="C246" s="729"/>
      <c r="D246" s="729"/>
      <c r="E246" s="748">
        <v>1</v>
      </c>
      <c r="F246" s="749"/>
      <c r="G246" s="67" t="s">
        <v>309</v>
      </c>
      <c r="H246" s="67"/>
      <c r="I246" s="87"/>
      <c r="J246" s="77">
        <f t="shared" si="10"/>
        <v>0</v>
      </c>
      <c r="K246" s="11"/>
      <c r="L246" s="11"/>
    </row>
    <row r="247" spans="1:12" ht="45" customHeight="1" x14ac:dyDescent="0.25">
      <c r="A247" s="67" t="s">
        <v>87</v>
      </c>
      <c r="B247" s="729" t="s">
        <v>148</v>
      </c>
      <c r="C247" s="729"/>
      <c r="D247" s="729"/>
      <c r="E247" s="748">
        <v>1</v>
      </c>
      <c r="F247" s="749"/>
      <c r="G247" s="67" t="s">
        <v>309</v>
      </c>
      <c r="H247" s="67"/>
      <c r="I247" s="87"/>
      <c r="J247" s="77">
        <f t="shared" si="10"/>
        <v>0</v>
      </c>
      <c r="K247" s="11"/>
      <c r="L247" s="11"/>
    </row>
    <row r="248" spans="1:12" ht="30" customHeight="1" x14ac:dyDescent="0.25">
      <c r="A248" s="67" t="s">
        <v>97</v>
      </c>
      <c r="B248" s="729" t="s">
        <v>146</v>
      </c>
      <c r="C248" s="729"/>
      <c r="D248" s="729"/>
      <c r="E248" s="748">
        <v>1</v>
      </c>
      <c r="F248" s="749"/>
      <c r="G248" s="67" t="s">
        <v>123</v>
      </c>
      <c r="H248" s="67"/>
      <c r="I248" s="87"/>
      <c r="J248" s="77">
        <f t="shared" si="10"/>
        <v>0</v>
      </c>
      <c r="K248" s="11"/>
      <c r="L248" s="11"/>
    </row>
    <row r="249" spans="1:12" ht="30" customHeight="1" x14ac:dyDescent="0.25">
      <c r="A249" s="67" t="s">
        <v>116</v>
      </c>
      <c r="B249" s="729" t="s">
        <v>145</v>
      </c>
      <c r="C249" s="729"/>
      <c r="D249" s="729"/>
      <c r="E249" s="748">
        <v>1</v>
      </c>
      <c r="F249" s="749"/>
      <c r="G249" s="67" t="s">
        <v>126</v>
      </c>
      <c r="H249" s="67"/>
      <c r="I249" s="87"/>
      <c r="J249" s="77">
        <f t="shared" si="10"/>
        <v>0</v>
      </c>
      <c r="K249" s="11"/>
      <c r="L249" s="11"/>
    </row>
    <row r="250" spans="1:12" ht="30" customHeight="1" x14ac:dyDescent="0.25">
      <c r="A250" s="67" t="s">
        <v>117</v>
      </c>
      <c r="B250" s="729" t="s">
        <v>137</v>
      </c>
      <c r="C250" s="729"/>
      <c r="D250" s="729"/>
      <c r="E250" s="748">
        <v>1</v>
      </c>
      <c r="F250" s="749"/>
      <c r="G250" s="67" t="s">
        <v>149</v>
      </c>
      <c r="H250" s="67"/>
      <c r="I250" s="87"/>
      <c r="J250" s="77">
        <f t="shared" si="10"/>
        <v>0</v>
      </c>
      <c r="K250" s="11"/>
      <c r="L250" s="11"/>
    </row>
    <row r="251" spans="1:12" ht="30" customHeight="1" x14ac:dyDescent="0.25">
      <c r="A251" s="67" t="s">
        <v>118</v>
      </c>
      <c r="B251" s="729" t="s">
        <v>138</v>
      </c>
      <c r="C251" s="729"/>
      <c r="D251" s="729"/>
      <c r="E251" s="748">
        <v>1</v>
      </c>
      <c r="F251" s="749"/>
      <c r="G251" s="67" t="s">
        <v>309</v>
      </c>
      <c r="H251" s="67"/>
      <c r="I251" s="87"/>
      <c r="J251" s="77">
        <f t="shared" si="10"/>
        <v>0</v>
      </c>
      <c r="K251" s="11"/>
      <c r="L251" s="11"/>
    </row>
    <row r="252" spans="1:12" ht="30" customHeight="1" x14ac:dyDescent="0.25">
      <c r="A252" s="67" t="s">
        <v>119</v>
      </c>
      <c r="B252" s="729" t="s">
        <v>139</v>
      </c>
      <c r="C252" s="729"/>
      <c r="D252" s="729"/>
      <c r="E252" s="748">
        <v>1</v>
      </c>
      <c r="F252" s="749"/>
      <c r="G252" s="67" t="s">
        <v>149</v>
      </c>
      <c r="H252" s="67"/>
      <c r="I252" s="87"/>
      <c r="J252" s="77">
        <f t="shared" si="10"/>
        <v>0</v>
      </c>
      <c r="K252" s="11"/>
      <c r="L252" s="11"/>
    </row>
    <row r="253" spans="1:12" ht="30" customHeight="1" x14ac:dyDescent="0.25">
      <c r="A253" s="67" t="s">
        <v>120</v>
      </c>
      <c r="B253" s="729" t="s">
        <v>140</v>
      </c>
      <c r="C253" s="729"/>
      <c r="D253" s="729"/>
      <c r="E253" s="748">
        <v>1</v>
      </c>
      <c r="F253" s="749"/>
      <c r="G253" s="67" t="s">
        <v>149</v>
      </c>
      <c r="H253" s="67"/>
      <c r="I253" s="87"/>
      <c r="J253" s="77">
        <f t="shared" si="10"/>
        <v>0</v>
      </c>
      <c r="K253" s="11"/>
      <c r="L253" s="11"/>
    </row>
    <row r="254" spans="1:12" ht="30" customHeight="1" x14ac:dyDescent="0.25">
      <c r="A254" s="67" t="s">
        <v>121</v>
      </c>
      <c r="B254" s="729" t="s">
        <v>143</v>
      </c>
      <c r="C254" s="729"/>
      <c r="D254" s="729"/>
      <c r="E254" s="748">
        <v>1</v>
      </c>
      <c r="F254" s="749"/>
      <c r="G254" s="67" t="s">
        <v>149</v>
      </c>
      <c r="H254" s="67"/>
      <c r="I254" s="87"/>
      <c r="J254" s="77">
        <f t="shared" si="10"/>
        <v>0</v>
      </c>
      <c r="K254" s="11"/>
      <c r="L254" s="11"/>
    </row>
    <row r="255" spans="1:12" ht="45" customHeight="1" x14ac:dyDescent="0.25">
      <c r="A255" s="67" t="s">
        <v>122</v>
      </c>
      <c r="B255" s="729" t="s">
        <v>141</v>
      </c>
      <c r="C255" s="729"/>
      <c r="D255" s="729"/>
      <c r="E255" s="748">
        <v>1</v>
      </c>
      <c r="F255" s="749"/>
      <c r="G255" s="67" t="s">
        <v>309</v>
      </c>
      <c r="H255" s="67"/>
      <c r="I255" s="87"/>
      <c r="J255" s="77">
        <f t="shared" si="10"/>
        <v>0</v>
      </c>
      <c r="K255" s="11"/>
      <c r="L255" s="11"/>
    </row>
    <row r="256" spans="1:12" ht="30" customHeight="1" x14ac:dyDescent="0.25">
      <c r="A256" s="67" t="s">
        <v>131</v>
      </c>
      <c r="B256" s="729" t="s">
        <v>142</v>
      </c>
      <c r="C256" s="729"/>
      <c r="D256" s="729"/>
      <c r="E256" s="748">
        <v>1</v>
      </c>
      <c r="F256" s="749"/>
      <c r="G256" s="67" t="s">
        <v>309</v>
      </c>
      <c r="H256" s="67"/>
      <c r="I256" s="87"/>
      <c r="J256" s="77">
        <f t="shared" si="10"/>
        <v>0</v>
      </c>
      <c r="K256" s="11"/>
      <c r="L256" s="11"/>
    </row>
    <row r="257" spans="1:13" ht="30" customHeight="1" x14ac:dyDescent="0.25">
      <c r="A257" s="67" t="s">
        <v>132</v>
      </c>
      <c r="B257" s="729" t="s">
        <v>150</v>
      </c>
      <c r="C257" s="729"/>
      <c r="D257" s="729"/>
      <c r="E257" s="748">
        <v>1</v>
      </c>
      <c r="F257" s="749"/>
      <c r="G257" s="67" t="s">
        <v>309</v>
      </c>
      <c r="H257" s="67"/>
      <c r="I257" s="87"/>
      <c r="J257" s="77">
        <f t="shared" si="10"/>
        <v>0</v>
      </c>
      <c r="K257" s="11"/>
      <c r="L257" s="11"/>
    </row>
    <row r="258" spans="1:13" ht="45" customHeight="1" x14ac:dyDescent="0.25">
      <c r="A258" s="67" t="s">
        <v>133</v>
      </c>
      <c r="B258" s="729" t="s">
        <v>196</v>
      </c>
      <c r="C258" s="729"/>
      <c r="D258" s="729"/>
      <c r="E258" s="748">
        <v>1</v>
      </c>
      <c r="F258" s="749"/>
      <c r="G258" s="67" t="s">
        <v>309</v>
      </c>
      <c r="H258" s="67"/>
      <c r="I258" s="87"/>
      <c r="J258" s="77">
        <f t="shared" si="10"/>
        <v>0</v>
      </c>
      <c r="K258" s="11"/>
      <c r="L258" s="11"/>
    </row>
    <row r="259" spans="1:13" ht="30" customHeight="1" x14ac:dyDescent="0.25">
      <c r="A259" s="67" t="s">
        <v>134</v>
      </c>
      <c r="B259" s="720" t="s">
        <v>198</v>
      </c>
      <c r="C259" s="721"/>
      <c r="D259" s="722"/>
      <c r="E259" s="748">
        <v>1</v>
      </c>
      <c r="F259" s="749"/>
      <c r="G259" s="67" t="s">
        <v>310</v>
      </c>
      <c r="H259" s="67"/>
      <c r="I259" s="87"/>
      <c r="J259" s="77">
        <f t="shared" si="10"/>
        <v>0</v>
      </c>
      <c r="K259" s="11"/>
      <c r="L259" s="11"/>
    </row>
    <row r="260" spans="1:13" ht="30" customHeight="1" x14ac:dyDescent="0.25">
      <c r="A260" s="67" t="s">
        <v>200</v>
      </c>
      <c r="B260" s="729" t="s">
        <v>203</v>
      </c>
      <c r="C260" s="729"/>
      <c r="D260" s="729"/>
      <c r="E260" s="748">
        <v>1</v>
      </c>
      <c r="F260" s="749"/>
      <c r="G260" s="67" t="s">
        <v>202</v>
      </c>
      <c r="H260" s="73"/>
      <c r="I260" s="87">
        <v>201.6</v>
      </c>
      <c r="J260" s="77">
        <f t="shared" si="10"/>
        <v>0</v>
      </c>
      <c r="K260" s="11"/>
      <c r="L260" s="11"/>
    </row>
    <row r="261" spans="1:13" ht="30" customHeight="1" x14ac:dyDescent="0.25">
      <c r="A261" s="67" t="s">
        <v>201</v>
      </c>
      <c r="B261" s="729" t="s">
        <v>204</v>
      </c>
      <c r="C261" s="729"/>
      <c r="D261" s="729"/>
      <c r="E261" s="748">
        <v>1</v>
      </c>
      <c r="F261" s="749"/>
      <c r="G261" s="67" t="s">
        <v>202</v>
      </c>
      <c r="H261" s="73"/>
      <c r="I261" s="87">
        <v>44</v>
      </c>
      <c r="J261" s="77">
        <f t="shared" si="10"/>
        <v>0</v>
      </c>
      <c r="K261" s="11"/>
      <c r="L261" s="11"/>
    </row>
    <row r="262" spans="1:13" ht="30" customHeight="1" x14ac:dyDescent="0.25">
      <c r="A262" s="67"/>
      <c r="B262" s="729"/>
      <c r="C262" s="729"/>
      <c r="D262" s="729"/>
      <c r="E262" s="748"/>
      <c r="F262" s="749"/>
      <c r="G262" s="67"/>
      <c r="H262" s="73"/>
      <c r="I262" s="88"/>
      <c r="J262" s="77">
        <f>ROUND(F262*G262,0)</f>
        <v>0</v>
      </c>
      <c r="K262" s="11"/>
      <c r="L262" s="11"/>
    </row>
    <row r="263" spans="1:13" ht="15" customHeight="1" x14ac:dyDescent="0.25">
      <c r="A263" s="12"/>
      <c r="B263" s="740" t="s">
        <v>13</v>
      </c>
      <c r="C263" s="740"/>
      <c r="D263" s="740"/>
      <c r="E263" s="741" t="s">
        <v>14</v>
      </c>
      <c r="F263" s="742"/>
      <c r="G263" s="743">
        <f>SUM(J242:J262)</f>
        <v>0</v>
      </c>
      <c r="H263" s="744"/>
      <c r="I263" s="744"/>
      <c r="J263" s="744"/>
      <c r="K263" s="13"/>
      <c r="L263" s="13"/>
    </row>
    <row r="264" spans="1:13" ht="15.75" x14ac:dyDescent="0.25">
      <c r="A264" s="7"/>
    </row>
    <row r="265" spans="1:13" ht="15.75" x14ac:dyDescent="0.25">
      <c r="A265" s="728" t="s">
        <v>291</v>
      </c>
      <c r="B265" s="728"/>
      <c r="C265" s="728"/>
      <c r="D265" s="728"/>
      <c r="E265" s="728"/>
      <c r="F265" s="728"/>
      <c r="G265" s="728"/>
      <c r="H265" s="728"/>
      <c r="I265" s="728"/>
      <c r="J265" s="728"/>
    </row>
    <row r="266" spans="1:13" ht="15.75" x14ac:dyDescent="0.25">
      <c r="A266" s="2"/>
    </row>
    <row r="267" spans="1:13" s="41" customFormat="1" ht="30" customHeight="1" x14ac:dyDescent="0.2">
      <c r="A267" s="69" t="s">
        <v>1</v>
      </c>
      <c r="B267" s="745" t="s">
        <v>15</v>
      </c>
      <c r="C267" s="746"/>
      <c r="D267" s="747"/>
      <c r="E267" s="745" t="s">
        <v>58</v>
      </c>
      <c r="F267" s="747"/>
      <c r="G267" s="745" t="s">
        <v>66</v>
      </c>
      <c r="H267" s="747"/>
      <c r="I267" s="745" t="s">
        <v>264</v>
      </c>
      <c r="J267" s="747"/>
    </row>
    <row r="268" spans="1:13" s="41" customFormat="1" ht="12.75" x14ac:dyDescent="0.2">
      <c r="A268" s="69">
        <v>1</v>
      </c>
      <c r="B268" s="719">
        <v>2</v>
      </c>
      <c r="C268" s="719"/>
      <c r="D268" s="719"/>
      <c r="E268" s="719">
        <v>3</v>
      </c>
      <c r="F268" s="719"/>
      <c r="G268" s="719">
        <v>4</v>
      </c>
      <c r="H268" s="719"/>
      <c r="I268" s="719">
        <v>5</v>
      </c>
      <c r="J268" s="719"/>
    </row>
    <row r="269" spans="1:13" ht="30" customHeight="1" x14ac:dyDescent="0.25">
      <c r="A269" s="75" t="s">
        <v>70</v>
      </c>
      <c r="B269" s="730" t="s">
        <v>170</v>
      </c>
      <c r="C269" s="731"/>
      <c r="D269" s="732"/>
      <c r="E269" s="84"/>
      <c r="F269" s="84"/>
      <c r="G269" s="733"/>
      <c r="H269" s="734"/>
      <c r="I269" s="735">
        <f>I270</f>
        <v>0</v>
      </c>
      <c r="J269" s="736"/>
    </row>
    <row r="270" spans="1:13" ht="30" customHeight="1" x14ac:dyDescent="0.25">
      <c r="A270" s="67" t="s">
        <v>27</v>
      </c>
      <c r="B270" s="737" t="s">
        <v>171</v>
      </c>
      <c r="C270" s="738"/>
      <c r="D270" s="739"/>
      <c r="E270" s="71" t="s">
        <v>310</v>
      </c>
      <c r="F270" s="71">
        <v>13</v>
      </c>
      <c r="G270" s="513" t="s">
        <v>260</v>
      </c>
      <c r="H270" s="513"/>
      <c r="I270" s="715"/>
      <c r="J270" s="716"/>
      <c r="K270" s="14" t="s">
        <v>157</v>
      </c>
    </row>
    <row r="271" spans="1:13" ht="30" customHeight="1" x14ac:dyDescent="0.25">
      <c r="A271" s="75" t="s">
        <v>75</v>
      </c>
      <c r="B271" s="730" t="s">
        <v>182</v>
      </c>
      <c r="C271" s="731"/>
      <c r="D271" s="732"/>
      <c r="E271" s="84"/>
      <c r="F271" s="84"/>
      <c r="G271" s="733"/>
      <c r="H271" s="734"/>
      <c r="I271" s="735">
        <f>SUM(I272:J278)</f>
        <v>0</v>
      </c>
      <c r="J271" s="736"/>
      <c r="K271" s="14"/>
    </row>
    <row r="272" spans="1:13" ht="30" customHeight="1" x14ac:dyDescent="0.25">
      <c r="A272" s="67" t="s">
        <v>34</v>
      </c>
      <c r="B272" s="713" t="s">
        <v>193</v>
      </c>
      <c r="C272" s="713"/>
      <c r="D272" s="713"/>
      <c r="E272" s="71" t="s">
        <v>311</v>
      </c>
      <c r="F272" s="73">
        <v>1007</v>
      </c>
      <c r="G272" s="513" t="s">
        <v>260</v>
      </c>
      <c r="H272" s="513"/>
      <c r="I272" s="715"/>
      <c r="J272" s="716"/>
      <c r="K272" s="14" t="s">
        <v>159</v>
      </c>
      <c r="M272" s="85"/>
    </row>
    <row r="273" spans="1:13" ht="30" customHeight="1" x14ac:dyDescent="0.25">
      <c r="A273" s="67" t="s">
        <v>36</v>
      </c>
      <c r="B273" s="713" t="s">
        <v>194</v>
      </c>
      <c r="C273" s="713"/>
      <c r="D273" s="713"/>
      <c r="E273" s="71" t="s">
        <v>311</v>
      </c>
      <c r="F273" s="73">
        <v>1007</v>
      </c>
      <c r="G273" s="513" t="s">
        <v>260</v>
      </c>
      <c r="H273" s="513"/>
      <c r="I273" s="715"/>
      <c r="J273" s="716"/>
      <c r="K273" s="14" t="s">
        <v>163</v>
      </c>
      <c r="M273" s="85"/>
    </row>
    <row r="274" spans="1:13" ht="30" customHeight="1" x14ac:dyDescent="0.25">
      <c r="A274" s="67" t="s">
        <v>38</v>
      </c>
      <c r="B274" s="713" t="s">
        <v>183</v>
      </c>
      <c r="C274" s="713"/>
      <c r="D274" s="713"/>
      <c r="E274" s="71" t="s">
        <v>311</v>
      </c>
      <c r="F274" s="73">
        <v>1007</v>
      </c>
      <c r="G274" s="513" t="s">
        <v>260</v>
      </c>
      <c r="H274" s="513"/>
      <c r="I274" s="715"/>
      <c r="J274" s="716"/>
      <c r="K274" s="14" t="s">
        <v>162</v>
      </c>
      <c r="M274" s="85"/>
    </row>
    <row r="275" spans="1:13" ht="30" customHeight="1" x14ac:dyDescent="0.25">
      <c r="A275" s="16" t="s">
        <v>40</v>
      </c>
      <c r="B275" s="713" t="s">
        <v>184</v>
      </c>
      <c r="C275" s="713"/>
      <c r="D275" s="713"/>
      <c r="E275" s="71" t="s">
        <v>311</v>
      </c>
      <c r="F275" s="73">
        <v>1007</v>
      </c>
      <c r="G275" s="513" t="s">
        <v>260</v>
      </c>
      <c r="H275" s="513"/>
      <c r="I275" s="715"/>
      <c r="J275" s="716"/>
      <c r="K275" s="14" t="s">
        <v>164</v>
      </c>
      <c r="M275" s="85"/>
    </row>
    <row r="276" spans="1:13" ht="30" customHeight="1" x14ac:dyDescent="0.25">
      <c r="A276" s="67" t="s">
        <v>42</v>
      </c>
      <c r="B276" s="713" t="s">
        <v>185</v>
      </c>
      <c r="C276" s="713"/>
      <c r="D276" s="713"/>
      <c r="E276" s="71" t="s">
        <v>311</v>
      </c>
      <c r="F276" s="73">
        <v>1007</v>
      </c>
      <c r="G276" s="513" t="s">
        <v>260</v>
      </c>
      <c r="H276" s="513"/>
      <c r="I276" s="715"/>
      <c r="J276" s="716"/>
      <c r="K276" s="14" t="s">
        <v>165</v>
      </c>
      <c r="M276" s="85"/>
    </row>
    <row r="277" spans="1:13" ht="30" customHeight="1" x14ac:dyDescent="0.25">
      <c r="A277" s="67" t="s">
        <v>180</v>
      </c>
      <c r="B277" s="713" t="s">
        <v>186</v>
      </c>
      <c r="C277" s="713"/>
      <c r="D277" s="713"/>
      <c r="E277" s="71" t="s">
        <v>311</v>
      </c>
      <c r="F277" s="73">
        <v>1007</v>
      </c>
      <c r="G277" s="513" t="s">
        <v>260</v>
      </c>
      <c r="H277" s="513"/>
      <c r="I277" s="715"/>
      <c r="J277" s="716"/>
      <c r="K277" s="15" t="s">
        <v>166</v>
      </c>
      <c r="M277" s="85"/>
    </row>
    <row r="278" spans="1:13" ht="30" customHeight="1" x14ac:dyDescent="0.25">
      <c r="A278" s="16" t="s">
        <v>181</v>
      </c>
      <c r="B278" s="713" t="s">
        <v>192</v>
      </c>
      <c r="C278" s="713"/>
      <c r="D278" s="713"/>
      <c r="E278" s="71" t="s">
        <v>311</v>
      </c>
      <c r="F278" s="73">
        <v>1007</v>
      </c>
      <c r="G278" s="513" t="s">
        <v>260</v>
      </c>
      <c r="H278" s="513"/>
      <c r="I278" s="715"/>
      <c r="J278" s="716"/>
      <c r="K278" s="14" t="s">
        <v>162</v>
      </c>
      <c r="M278" s="85"/>
    </row>
    <row r="279" spans="1:13" x14ac:dyDescent="0.25">
      <c r="A279" s="67"/>
      <c r="B279" s="713" t="s">
        <v>13</v>
      </c>
      <c r="C279" s="713"/>
      <c r="D279" s="713"/>
      <c r="E279" s="717"/>
      <c r="F279" s="717"/>
      <c r="G279" s="714" t="s">
        <v>14</v>
      </c>
      <c r="H279" s="714"/>
      <c r="I279" s="726">
        <f>I269+I271</f>
        <v>0</v>
      </c>
      <c r="J279" s="727"/>
    </row>
    <row r="281" spans="1:13" ht="15.75" x14ac:dyDescent="0.25">
      <c r="A281" s="728" t="s">
        <v>292</v>
      </c>
      <c r="B281" s="728"/>
      <c r="C281" s="728"/>
      <c r="D281" s="728"/>
      <c r="E281" s="728"/>
      <c r="F281" s="728"/>
      <c r="G281" s="728"/>
      <c r="H281" s="728"/>
      <c r="I281" s="728"/>
      <c r="J281" s="728"/>
    </row>
    <row r="282" spans="1:13" ht="15.75" x14ac:dyDescent="0.25">
      <c r="A282" s="2"/>
    </row>
    <row r="283" spans="1:13" s="41" customFormat="1" ht="30" customHeight="1" x14ac:dyDescent="0.2">
      <c r="A283" s="69" t="s">
        <v>1</v>
      </c>
      <c r="B283" s="719" t="s">
        <v>15</v>
      </c>
      <c r="C283" s="719"/>
      <c r="D283" s="719"/>
      <c r="E283" s="719" t="s">
        <v>58</v>
      </c>
      <c r="F283" s="719"/>
      <c r="G283" s="719" t="s">
        <v>66</v>
      </c>
      <c r="H283" s="719"/>
      <c r="I283" s="719" t="s">
        <v>264</v>
      </c>
      <c r="J283" s="719"/>
    </row>
    <row r="284" spans="1:13" s="41" customFormat="1" ht="12.75" x14ac:dyDescent="0.2">
      <c r="A284" s="69">
        <v>1</v>
      </c>
      <c r="B284" s="719">
        <v>2</v>
      </c>
      <c r="C284" s="719"/>
      <c r="D284" s="719"/>
      <c r="E284" s="719">
        <v>3</v>
      </c>
      <c r="F284" s="719"/>
      <c r="G284" s="719">
        <v>4</v>
      </c>
      <c r="H284" s="719"/>
      <c r="I284" s="719">
        <v>5</v>
      </c>
      <c r="J284" s="719"/>
    </row>
    <row r="285" spans="1:13" ht="30" customHeight="1" x14ac:dyDescent="0.25">
      <c r="A285" s="75" t="s">
        <v>70</v>
      </c>
      <c r="B285" s="730" t="s">
        <v>172</v>
      </c>
      <c r="C285" s="731"/>
      <c r="D285" s="732"/>
      <c r="E285" s="84"/>
      <c r="F285" s="84"/>
      <c r="G285" s="733"/>
      <c r="H285" s="734"/>
      <c r="I285" s="735">
        <f>SUM(I286:J292)</f>
        <v>0</v>
      </c>
      <c r="J285" s="736"/>
      <c r="K285" s="14"/>
    </row>
    <row r="286" spans="1:13" ht="30" customHeight="1" x14ac:dyDescent="0.25">
      <c r="A286" s="67" t="s">
        <v>27</v>
      </c>
      <c r="B286" s="713" t="s">
        <v>173</v>
      </c>
      <c r="C286" s="713"/>
      <c r="D286" s="713"/>
      <c r="E286" s="71" t="s">
        <v>311</v>
      </c>
      <c r="F286" s="73">
        <v>1007</v>
      </c>
      <c r="G286" s="513" t="s">
        <v>260</v>
      </c>
      <c r="H286" s="513"/>
      <c r="I286" s="715"/>
      <c r="J286" s="716"/>
      <c r="K286" s="15" t="s">
        <v>158</v>
      </c>
    </row>
    <row r="287" spans="1:13" ht="30" customHeight="1" x14ac:dyDescent="0.25">
      <c r="A287" s="67" t="s">
        <v>29</v>
      </c>
      <c r="B287" s="713" t="s">
        <v>174</v>
      </c>
      <c r="C287" s="713"/>
      <c r="D287" s="713"/>
      <c r="E287" s="71" t="s">
        <v>314</v>
      </c>
      <c r="F287" s="73">
        <v>30</v>
      </c>
      <c r="G287" s="513" t="s">
        <v>260</v>
      </c>
      <c r="H287" s="513"/>
      <c r="I287" s="715"/>
      <c r="J287" s="716"/>
      <c r="K287" s="14" t="s">
        <v>156</v>
      </c>
    </row>
    <row r="288" spans="1:13" ht="30" customHeight="1" x14ac:dyDescent="0.25">
      <c r="A288" s="16" t="s">
        <v>31</v>
      </c>
      <c r="B288" s="713" t="s">
        <v>175</v>
      </c>
      <c r="C288" s="713"/>
      <c r="D288" s="713"/>
      <c r="E288" s="71" t="s">
        <v>312</v>
      </c>
      <c r="F288" s="73">
        <v>1400</v>
      </c>
      <c r="G288" s="513" t="s">
        <v>260</v>
      </c>
      <c r="H288" s="513"/>
      <c r="I288" s="715"/>
      <c r="J288" s="716"/>
      <c r="K288" s="14" t="s">
        <v>160</v>
      </c>
    </row>
    <row r="289" spans="1:11" ht="30" customHeight="1" x14ac:dyDescent="0.25">
      <c r="A289" s="67" t="s">
        <v>270</v>
      </c>
      <c r="B289" s="713" t="s">
        <v>176</v>
      </c>
      <c r="C289" s="713"/>
      <c r="D289" s="713"/>
      <c r="E289" s="71" t="s">
        <v>313</v>
      </c>
      <c r="F289" s="86">
        <v>19887.2</v>
      </c>
      <c r="G289" s="513" t="s">
        <v>260</v>
      </c>
      <c r="H289" s="513"/>
      <c r="I289" s="715"/>
      <c r="J289" s="716"/>
      <c r="K289" s="14" t="s">
        <v>159</v>
      </c>
    </row>
    <row r="290" spans="1:11" ht="30" customHeight="1" x14ac:dyDescent="0.25">
      <c r="A290" s="67" t="s">
        <v>271</v>
      </c>
      <c r="B290" s="713" t="s">
        <v>177</v>
      </c>
      <c r="C290" s="713"/>
      <c r="D290" s="713"/>
      <c r="E290" s="71" t="s">
        <v>313</v>
      </c>
      <c r="F290" s="86">
        <v>19887.2</v>
      </c>
      <c r="G290" s="513" t="s">
        <v>260</v>
      </c>
      <c r="H290" s="513"/>
      <c r="I290" s="715"/>
      <c r="J290" s="716"/>
      <c r="K290" s="14" t="s">
        <v>156</v>
      </c>
    </row>
    <row r="291" spans="1:11" ht="30" customHeight="1" x14ac:dyDescent="0.25">
      <c r="A291" s="67" t="s">
        <v>286</v>
      </c>
      <c r="B291" s="713" t="s">
        <v>178</v>
      </c>
      <c r="C291" s="713"/>
      <c r="D291" s="713"/>
      <c r="E291" s="71" t="s">
        <v>314</v>
      </c>
      <c r="F291" s="73">
        <v>10</v>
      </c>
      <c r="G291" s="513" t="s">
        <v>260</v>
      </c>
      <c r="H291" s="513"/>
      <c r="I291" s="715"/>
      <c r="J291" s="716"/>
      <c r="K291" s="14" t="s">
        <v>161</v>
      </c>
    </row>
    <row r="292" spans="1:11" ht="30" customHeight="1" x14ac:dyDescent="0.25">
      <c r="A292" s="16" t="s">
        <v>287</v>
      </c>
      <c r="B292" s="713" t="s">
        <v>179</v>
      </c>
      <c r="C292" s="713"/>
      <c r="D292" s="713"/>
      <c r="E292" s="71" t="s">
        <v>313</v>
      </c>
      <c r="F292" s="86">
        <v>19887.2</v>
      </c>
      <c r="G292" s="513" t="s">
        <v>260</v>
      </c>
      <c r="H292" s="513"/>
      <c r="I292" s="715"/>
      <c r="J292" s="716"/>
      <c r="K292" s="14" t="s">
        <v>162</v>
      </c>
    </row>
    <row r="293" spans="1:11" ht="30" customHeight="1" x14ac:dyDescent="0.25">
      <c r="A293" s="75" t="s">
        <v>75</v>
      </c>
      <c r="B293" s="730" t="s">
        <v>187</v>
      </c>
      <c r="C293" s="731"/>
      <c r="D293" s="732"/>
      <c r="E293" s="84"/>
      <c r="F293" s="84"/>
      <c r="G293" s="733"/>
      <c r="H293" s="734"/>
      <c r="I293" s="735">
        <f>SUM(I294:J297)</f>
        <v>0</v>
      </c>
      <c r="J293" s="736"/>
      <c r="K293" s="14"/>
    </row>
    <row r="294" spans="1:11" ht="30" customHeight="1" x14ac:dyDescent="0.25">
      <c r="A294" s="67" t="s">
        <v>34</v>
      </c>
      <c r="B294" s="713" t="s">
        <v>188</v>
      </c>
      <c r="C294" s="713"/>
      <c r="D294" s="713"/>
      <c r="E294" s="71" t="s">
        <v>311</v>
      </c>
      <c r="F294" s="73">
        <v>1007</v>
      </c>
      <c r="G294" s="513" t="s">
        <v>260</v>
      </c>
      <c r="H294" s="513"/>
      <c r="I294" s="715"/>
      <c r="J294" s="716"/>
      <c r="K294" s="14" t="s">
        <v>164</v>
      </c>
    </row>
    <row r="295" spans="1:11" ht="45" customHeight="1" x14ac:dyDescent="0.25">
      <c r="A295" s="67" t="s">
        <v>36</v>
      </c>
      <c r="B295" s="713" t="s">
        <v>189</v>
      </c>
      <c r="C295" s="713"/>
      <c r="D295" s="713"/>
      <c r="E295" s="71" t="s">
        <v>311</v>
      </c>
      <c r="F295" s="73">
        <v>1007</v>
      </c>
      <c r="G295" s="513" t="s">
        <v>260</v>
      </c>
      <c r="H295" s="513"/>
      <c r="I295" s="715"/>
      <c r="J295" s="716"/>
      <c r="K295" s="15" t="s">
        <v>167</v>
      </c>
    </row>
    <row r="296" spans="1:11" ht="30" customHeight="1" x14ac:dyDescent="0.25">
      <c r="A296" s="67" t="s">
        <v>38</v>
      </c>
      <c r="B296" s="713" t="s">
        <v>190</v>
      </c>
      <c r="C296" s="713"/>
      <c r="D296" s="713"/>
      <c r="E296" s="71" t="s">
        <v>311</v>
      </c>
      <c r="F296" s="73">
        <v>1007</v>
      </c>
      <c r="G296" s="513" t="s">
        <v>260</v>
      </c>
      <c r="H296" s="513"/>
      <c r="I296" s="715"/>
      <c r="J296" s="716"/>
      <c r="K296" s="15" t="s">
        <v>169</v>
      </c>
    </row>
    <row r="297" spans="1:11" ht="30" customHeight="1" x14ac:dyDescent="0.25">
      <c r="A297" s="16" t="s">
        <v>40</v>
      </c>
      <c r="B297" s="713" t="s">
        <v>191</v>
      </c>
      <c r="C297" s="713"/>
      <c r="D297" s="713"/>
      <c r="E297" s="71" t="s">
        <v>311</v>
      </c>
      <c r="F297" s="73">
        <v>1007</v>
      </c>
      <c r="G297" s="513" t="s">
        <v>260</v>
      </c>
      <c r="H297" s="513"/>
      <c r="I297" s="715"/>
      <c r="J297" s="716"/>
      <c r="K297" s="14" t="s">
        <v>168</v>
      </c>
    </row>
    <row r="298" spans="1:11" ht="30" customHeight="1" x14ac:dyDescent="0.25">
      <c r="A298" s="67"/>
      <c r="B298" s="729"/>
      <c r="C298" s="729"/>
      <c r="D298" s="729"/>
      <c r="E298" s="71"/>
      <c r="F298" s="73"/>
      <c r="G298" s="714"/>
      <c r="H298" s="714"/>
      <c r="I298" s="715"/>
      <c r="J298" s="716"/>
      <c r="K298" s="14"/>
    </row>
    <row r="299" spans="1:11" x14ac:dyDescent="0.25">
      <c r="A299" s="67"/>
      <c r="B299" s="713" t="s">
        <v>13</v>
      </c>
      <c r="C299" s="713"/>
      <c r="D299" s="713"/>
      <c r="E299" s="717"/>
      <c r="F299" s="717"/>
      <c r="G299" s="714" t="s">
        <v>14</v>
      </c>
      <c r="H299" s="714"/>
      <c r="I299" s="726">
        <f>I285+I293</f>
        <v>0</v>
      </c>
      <c r="J299" s="727"/>
    </row>
    <row r="301" spans="1:11" ht="15.75" x14ac:dyDescent="0.25">
      <c r="A301" s="728" t="s">
        <v>293</v>
      </c>
      <c r="B301" s="728"/>
      <c r="C301" s="728"/>
      <c r="D301" s="728"/>
      <c r="E301" s="728"/>
      <c r="F301" s="728"/>
      <c r="G301" s="728"/>
      <c r="H301" s="728"/>
      <c r="I301" s="728"/>
      <c r="J301" s="728"/>
    </row>
    <row r="302" spans="1:11" ht="15.75" x14ac:dyDescent="0.25">
      <c r="A302" s="2"/>
    </row>
    <row r="303" spans="1:11" s="41" customFormat="1" ht="30" customHeight="1" x14ac:dyDescent="0.2">
      <c r="A303" s="69" t="s">
        <v>1</v>
      </c>
      <c r="B303" s="719" t="s">
        <v>15</v>
      </c>
      <c r="C303" s="719"/>
      <c r="D303" s="719"/>
      <c r="E303" s="719" t="s">
        <v>58</v>
      </c>
      <c r="F303" s="719"/>
      <c r="G303" s="719" t="s">
        <v>66</v>
      </c>
      <c r="H303" s="719"/>
      <c r="I303" s="719" t="s">
        <v>264</v>
      </c>
      <c r="J303" s="719"/>
    </row>
    <row r="304" spans="1:11" s="41" customFormat="1" ht="12.75" x14ac:dyDescent="0.2">
      <c r="A304" s="69">
        <v>1</v>
      </c>
      <c r="B304" s="719">
        <v>2</v>
      </c>
      <c r="C304" s="719"/>
      <c r="D304" s="719"/>
      <c r="E304" s="719">
        <v>3</v>
      </c>
      <c r="F304" s="719"/>
      <c r="G304" s="719">
        <v>4</v>
      </c>
      <c r="H304" s="719"/>
      <c r="I304" s="719">
        <v>5</v>
      </c>
      <c r="J304" s="719"/>
    </row>
    <row r="305" spans="1:11" ht="45" customHeight="1" x14ac:dyDescent="0.25">
      <c r="A305" s="82" t="s">
        <v>70</v>
      </c>
      <c r="B305" s="720" t="s">
        <v>197</v>
      </c>
      <c r="C305" s="721"/>
      <c r="D305" s="722"/>
      <c r="E305" s="71" t="s">
        <v>310</v>
      </c>
      <c r="F305" s="73"/>
      <c r="G305" s="723"/>
      <c r="H305" s="724"/>
      <c r="I305" s="725">
        <f>F305*G305</f>
        <v>0</v>
      </c>
      <c r="J305" s="725"/>
      <c r="K305" s="14"/>
    </row>
    <row r="306" spans="1:11" ht="30" customHeight="1" x14ac:dyDescent="0.25">
      <c r="A306" s="67"/>
      <c r="B306" s="713"/>
      <c r="C306" s="713"/>
      <c r="D306" s="713"/>
      <c r="E306" s="71"/>
      <c r="F306" s="73"/>
      <c r="G306" s="714"/>
      <c r="H306" s="714"/>
      <c r="I306" s="715"/>
      <c r="J306" s="716"/>
      <c r="K306" s="15"/>
    </row>
    <row r="307" spans="1:11" ht="30" customHeight="1" x14ac:dyDescent="0.25">
      <c r="A307" s="67"/>
      <c r="B307" s="713" t="s">
        <v>13</v>
      </c>
      <c r="C307" s="713"/>
      <c r="D307" s="713"/>
      <c r="E307" s="717"/>
      <c r="F307" s="717"/>
      <c r="G307" s="714" t="s">
        <v>14</v>
      </c>
      <c r="H307" s="714"/>
      <c r="I307" s="718">
        <f>SUM(I305:J306)</f>
        <v>0</v>
      </c>
      <c r="J307" s="718"/>
      <c r="K307" s="14"/>
    </row>
    <row r="312" spans="1:11" x14ac:dyDescent="0.25">
      <c r="H312" s="40" t="s">
        <v>212</v>
      </c>
      <c r="I312" s="711">
        <f>J60+I73+I81+I100+I114+I128+I140+I152+I172+I180+I202+I210+G235+G263+I279+I299+I307</f>
        <v>0</v>
      </c>
      <c r="J312" s="711"/>
    </row>
    <row r="313" spans="1:11" x14ac:dyDescent="0.25">
      <c r="H313" s="39" t="s">
        <v>248</v>
      </c>
    </row>
    <row r="314" spans="1:11" x14ac:dyDescent="0.25">
      <c r="H314" s="39" t="s">
        <v>82</v>
      </c>
      <c r="I314" s="712">
        <f>I73+I81+I128+I164+I165+I166+I167+I168+I169+I202+G235+J242+J243+J244+J245+J246+J247+J248+J249+J250+J251+J252+J253+J254+J255+J256+J257+I269+I285</f>
        <v>0</v>
      </c>
      <c r="J314" s="712"/>
    </row>
    <row r="315" spans="1:11" x14ac:dyDescent="0.25">
      <c r="H315" s="39" t="s">
        <v>249</v>
      </c>
      <c r="I315" s="712">
        <f>J60+I100+I170+J258+J259+I271+I293+I307</f>
        <v>0</v>
      </c>
      <c r="J315" s="712"/>
    </row>
    <row r="316" spans="1:11" x14ac:dyDescent="0.25">
      <c r="H316" s="39" t="s">
        <v>250</v>
      </c>
      <c r="I316" s="712">
        <f>J260</f>
        <v>0</v>
      </c>
      <c r="J316" s="712"/>
    </row>
    <row r="317" spans="1:11" x14ac:dyDescent="0.25">
      <c r="H317" s="39" t="s">
        <v>251</v>
      </c>
      <c r="I317" s="712">
        <f>J261</f>
        <v>0</v>
      </c>
      <c r="J317" s="712"/>
    </row>
    <row r="318" spans="1:11" x14ac:dyDescent="0.25">
      <c r="H318" s="39"/>
    </row>
    <row r="320" spans="1:11" ht="15.75" customHeight="1" x14ac:dyDescent="0.25">
      <c r="C320" s="56" t="s">
        <v>261</v>
      </c>
      <c r="D320" s="57"/>
      <c r="E320" s="58"/>
      <c r="F320" s="58"/>
      <c r="G320" s="59"/>
    </row>
    <row r="321" spans="2:7" ht="15.75" customHeight="1" x14ac:dyDescent="0.25">
      <c r="C321" s="60"/>
    </row>
    <row r="322" spans="2:7" ht="15.75" customHeight="1" x14ac:dyDescent="0.25">
      <c r="C322" s="56" t="s">
        <v>262</v>
      </c>
      <c r="D322" s="57"/>
      <c r="E322" s="58"/>
      <c r="F322" s="58"/>
      <c r="G322" s="59"/>
    </row>
    <row r="323" spans="2:7" ht="15.75" customHeight="1" x14ac:dyDescent="0.25">
      <c r="C323" s="60"/>
    </row>
    <row r="324" spans="2:7" ht="15.75" customHeight="1" x14ac:dyDescent="0.25">
      <c r="C324" s="60" t="s">
        <v>265</v>
      </c>
      <c r="D324" s="4"/>
      <c r="E324" s="4"/>
      <c r="F324" s="4"/>
    </row>
    <row r="326" spans="2:7" x14ac:dyDescent="0.25">
      <c r="B326" s="1" t="s">
        <v>263</v>
      </c>
    </row>
  </sheetData>
  <mergeCells count="531">
    <mergeCell ref="A1:J1"/>
    <mergeCell ref="A3:J3"/>
    <mergeCell ref="A5:J5"/>
    <mergeCell ref="A9:J9"/>
    <mergeCell ref="A14:J14"/>
    <mergeCell ref="A16:A18"/>
    <mergeCell ref="B16:B18"/>
    <mergeCell ref="C16:C18"/>
    <mergeCell ref="D16:G16"/>
    <mergeCell ref="H16:H18"/>
    <mergeCell ref="A60:B60"/>
    <mergeCell ref="A62:J62"/>
    <mergeCell ref="B64:D64"/>
    <mergeCell ref="E64:F64"/>
    <mergeCell ref="I64:J64"/>
    <mergeCell ref="B65:D65"/>
    <mergeCell ref="E65:F65"/>
    <mergeCell ref="I65:J65"/>
    <mergeCell ref="I16:I18"/>
    <mergeCell ref="J16:J18"/>
    <mergeCell ref="D17:D18"/>
    <mergeCell ref="E17:G17"/>
    <mergeCell ref="A58:B58"/>
    <mergeCell ref="A59:I59"/>
    <mergeCell ref="B68:D68"/>
    <mergeCell ref="E68:F68"/>
    <mergeCell ref="I68:J68"/>
    <mergeCell ref="B69:D69"/>
    <mergeCell ref="E69:F69"/>
    <mergeCell ref="I69:J69"/>
    <mergeCell ref="B66:D66"/>
    <mergeCell ref="E66:F66"/>
    <mergeCell ref="I66:J66"/>
    <mergeCell ref="B67:D67"/>
    <mergeCell ref="E67:F67"/>
    <mergeCell ref="I67:J67"/>
    <mergeCell ref="B72:D72"/>
    <mergeCell ref="E72:F72"/>
    <mergeCell ref="I72:J72"/>
    <mergeCell ref="B73:D73"/>
    <mergeCell ref="E73:F73"/>
    <mergeCell ref="I73:J73"/>
    <mergeCell ref="B70:D70"/>
    <mergeCell ref="E70:F70"/>
    <mergeCell ref="I70:J70"/>
    <mergeCell ref="B71:D71"/>
    <mergeCell ref="E71:F71"/>
    <mergeCell ref="I71:J71"/>
    <mergeCell ref="B79:D79"/>
    <mergeCell ref="E79:F79"/>
    <mergeCell ref="I79:J79"/>
    <mergeCell ref="B80:D80"/>
    <mergeCell ref="E80:F80"/>
    <mergeCell ref="I80:J80"/>
    <mergeCell ref="A75:J75"/>
    <mergeCell ref="B77:D77"/>
    <mergeCell ref="E77:F77"/>
    <mergeCell ref="I77:J77"/>
    <mergeCell ref="B78:D78"/>
    <mergeCell ref="E78:F78"/>
    <mergeCell ref="I78:J78"/>
    <mergeCell ref="B86:F86"/>
    <mergeCell ref="G86:H86"/>
    <mergeCell ref="I86:J86"/>
    <mergeCell ref="B87:F87"/>
    <mergeCell ref="G87:H87"/>
    <mergeCell ref="I87:J87"/>
    <mergeCell ref="B81:D81"/>
    <mergeCell ref="E81:F81"/>
    <mergeCell ref="I81:J81"/>
    <mergeCell ref="A83:J83"/>
    <mergeCell ref="B85:F85"/>
    <mergeCell ref="G85:H85"/>
    <mergeCell ref="I85:J85"/>
    <mergeCell ref="B90:F90"/>
    <mergeCell ref="G90:H90"/>
    <mergeCell ref="I90:J90"/>
    <mergeCell ref="B91:F91"/>
    <mergeCell ref="G91:H91"/>
    <mergeCell ref="I91:J91"/>
    <mergeCell ref="B88:F88"/>
    <mergeCell ref="G88:H88"/>
    <mergeCell ref="I88:J88"/>
    <mergeCell ref="B89:F89"/>
    <mergeCell ref="G89:H89"/>
    <mergeCell ref="I89:J89"/>
    <mergeCell ref="B94:F94"/>
    <mergeCell ref="G94:H94"/>
    <mergeCell ref="I94:J94"/>
    <mergeCell ref="B95:F95"/>
    <mergeCell ref="G95:H95"/>
    <mergeCell ref="I95:J95"/>
    <mergeCell ref="B92:F92"/>
    <mergeCell ref="G92:H92"/>
    <mergeCell ref="I92:J92"/>
    <mergeCell ref="B93:F93"/>
    <mergeCell ref="G93:H93"/>
    <mergeCell ref="I93:J93"/>
    <mergeCell ref="B98:F98"/>
    <mergeCell ref="G98:H98"/>
    <mergeCell ref="I98:J98"/>
    <mergeCell ref="B99:F99"/>
    <mergeCell ref="G99:H99"/>
    <mergeCell ref="I99:J99"/>
    <mergeCell ref="B96:F96"/>
    <mergeCell ref="G96:H96"/>
    <mergeCell ref="I96:J96"/>
    <mergeCell ref="B97:F97"/>
    <mergeCell ref="G97:H97"/>
    <mergeCell ref="I97:J97"/>
    <mergeCell ref="B100:F100"/>
    <mergeCell ref="G100:H100"/>
    <mergeCell ref="I100:J100"/>
    <mergeCell ref="A102:J102"/>
    <mergeCell ref="A105:J105"/>
    <mergeCell ref="B110:D110"/>
    <mergeCell ref="E110:F110"/>
    <mergeCell ref="G110:H110"/>
    <mergeCell ref="I110:J110"/>
    <mergeCell ref="B113:D113"/>
    <mergeCell ref="E113:F113"/>
    <mergeCell ref="G113:H113"/>
    <mergeCell ref="I113:J113"/>
    <mergeCell ref="B114:D114"/>
    <mergeCell ref="E114:F114"/>
    <mergeCell ref="G114:H114"/>
    <mergeCell ref="I114:J114"/>
    <mergeCell ref="B111:D111"/>
    <mergeCell ref="E111:F111"/>
    <mergeCell ref="G111:H111"/>
    <mergeCell ref="I111:J111"/>
    <mergeCell ref="B112:D112"/>
    <mergeCell ref="E112:F112"/>
    <mergeCell ref="G112:H112"/>
    <mergeCell ref="I112:J112"/>
    <mergeCell ref="A117:J117"/>
    <mergeCell ref="B122:D122"/>
    <mergeCell ref="E122:F122"/>
    <mergeCell ref="G122:H122"/>
    <mergeCell ref="I122:J122"/>
    <mergeCell ref="B123:D123"/>
    <mergeCell ref="E123:F123"/>
    <mergeCell ref="G123:H123"/>
    <mergeCell ref="I123:J123"/>
    <mergeCell ref="B126:D126"/>
    <mergeCell ref="E126:F126"/>
    <mergeCell ref="G126:H126"/>
    <mergeCell ref="I126:J126"/>
    <mergeCell ref="B127:D127"/>
    <mergeCell ref="E127:F127"/>
    <mergeCell ref="G127:H127"/>
    <mergeCell ref="I127:J127"/>
    <mergeCell ref="B124:D124"/>
    <mergeCell ref="E124:F124"/>
    <mergeCell ref="G124:H124"/>
    <mergeCell ref="I124:J124"/>
    <mergeCell ref="B125:D125"/>
    <mergeCell ref="E125:F125"/>
    <mergeCell ref="G125:H125"/>
    <mergeCell ref="I125:J125"/>
    <mergeCell ref="B128:D128"/>
    <mergeCell ref="E128:F128"/>
    <mergeCell ref="G128:H128"/>
    <mergeCell ref="I128:J128"/>
    <mergeCell ref="A131:J131"/>
    <mergeCell ref="B136:D136"/>
    <mergeCell ref="E136:F136"/>
    <mergeCell ref="G136:H136"/>
    <mergeCell ref="I136:J136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B137:D137"/>
    <mergeCell ref="E137:F137"/>
    <mergeCell ref="G137:H137"/>
    <mergeCell ref="I137:J137"/>
    <mergeCell ref="B138:D138"/>
    <mergeCell ref="E138:F138"/>
    <mergeCell ref="G138:H138"/>
    <mergeCell ref="I138:J138"/>
    <mergeCell ref="B150:D150"/>
    <mergeCell ref="E150:F150"/>
    <mergeCell ref="G150:H150"/>
    <mergeCell ref="I150:J150"/>
    <mergeCell ref="B151:D151"/>
    <mergeCell ref="E151:F151"/>
    <mergeCell ref="G151:H151"/>
    <mergeCell ref="I151:J151"/>
    <mergeCell ref="A143:J143"/>
    <mergeCell ref="B148:D148"/>
    <mergeCell ref="E148:F148"/>
    <mergeCell ref="G148:H148"/>
    <mergeCell ref="I148:J148"/>
    <mergeCell ref="B149:D149"/>
    <mergeCell ref="E149:F149"/>
    <mergeCell ref="G149:H149"/>
    <mergeCell ref="I149:J149"/>
    <mergeCell ref="B162:D162"/>
    <mergeCell ref="G162:H162"/>
    <mergeCell ref="I162:J162"/>
    <mergeCell ref="B163:D163"/>
    <mergeCell ref="G163:H163"/>
    <mergeCell ref="I163:J163"/>
    <mergeCell ref="B152:D152"/>
    <mergeCell ref="E152:F152"/>
    <mergeCell ref="G152:H152"/>
    <mergeCell ref="I152:J152"/>
    <mergeCell ref="A155:J155"/>
    <mergeCell ref="A160:J160"/>
    <mergeCell ref="B166:D166"/>
    <mergeCell ref="G166:H166"/>
    <mergeCell ref="I166:J166"/>
    <mergeCell ref="B167:D167"/>
    <mergeCell ref="G167:H167"/>
    <mergeCell ref="I167:J167"/>
    <mergeCell ref="B164:D164"/>
    <mergeCell ref="G164:H164"/>
    <mergeCell ref="I164:J164"/>
    <mergeCell ref="B165:D165"/>
    <mergeCell ref="G165:H165"/>
    <mergeCell ref="I165:J165"/>
    <mergeCell ref="B170:D170"/>
    <mergeCell ref="G170:H170"/>
    <mergeCell ref="I170:J170"/>
    <mergeCell ref="B171:D171"/>
    <mergeCell ref="G171:H171"/>
    <mergeCell ref="I171:J171"/>
    <mergeCell ref="B168:D168"/>
    <mergeCell ref="G168:H168"/>
    <mergeCell ref="I168:J168"/>
    <mergeCell ref="B169:D169"/>
    <mergeCell ref="G169:H169"/>
    <mergeCell ref="I169:J169"/>
    <mergeCell ref="B177:D177"/>
    <mergeCell ref="E177:F177"/>
    <mergeCell ref="G177:H177"/>
    <mergeCell ref="I177:J177"/>
    <mergeCell ref="B178:D178"/>
    <mergeCell ref="E178:F178"/>
    <mergeCell ref="G178:H178"/>
    <mergeCell ref="I178:J178"/>
    <mergeCell ref="B172:D172"/>
    <mergeCell ref="G172:H172"/>
    <mergeCell ref="I172:J172"/>
    <mergeCell ref="A174:J174"/>
    <mergeCell ref="B176:D176"/>
    <mergeCell ref="E176:F176"/>
    <mergeCell ref="G176:H176"/>
    <mergeCell ref="I176:J176"/>
    <mergeCell ref="A182:J182"/>
    <mergeCell ref="B184:D184"/>
    <mergeCell ref="F184:G184"/>
    <mergeCell ref="I184:J184"/>
    <mergeCell ref="B185:D185"/>
    <mergeCell ref="F185:G185"/>
    <mergeCell ref="I185:J185"/>
    <mergeCell ref="B179:D179"/>
    <mergeCell ref="E179:F179"/>
    <mergeCell ref="G179:H179"/>
    <mergeCell ref="I179:J179"/>
    <mergeCell ref="B180:D180"/>
    <mergeCell ref="E180:F180"/>
    <mergeCell ref="G180:H180"/>
    <mergeCell ref="I180:J180"/>
    <mergeCell ref="B189:D189"/>
    <mergeCell ref="I189:J189"/>
    <mergeCell ref="B190:D190"/>
    <mergeCell ref="I190:J190"/>
    <mergeCell ref="B191:D191"/>
    <mergeCell ref="I191:J191"/>
    <mergeCell ref="B186:D186"/>
    <mergeCell ref="I186:J186"/>
    <mergeCell ref="B187:D187"/>
    <mergeCell ref="I187:J187"/>
    <mergeCell ref="B188:D188"/>
    <mergeCell ref="I188:J188"/>
    <mergeCell ref="B195:D195"/>
    <mergeCell ref="I195:J195"/>
    <mergeCell ref="B196:D196"/>
    <mergeCell ref="I196:J196"/>
    <mergeCell ref="B197:D197"/>
    <mergeCell ref="I197:J197"/>
    <mergeCell ref="B192:D192"/>
    <mergeCell ref="I192:J192"/>
    <mergeCell ref="B193:D193"/>
    <mergeCell ref="I193:J193"/>
    <mergeCell ref="B194:D194"/>
    <mergeCell ref="I194:J194"/>
    <mergeCell ref="B201:D201"/>
    <mergeCell ref="I201:J201"/>
    <mergeCell ref="B202:D202"/>
    <mergeCell ref="F202:G202"/>
    <mergeCell ref="I202:J202"/>
    <mergeCell ref="A204:J204"/>
    <mergeCell ref="B198:D198"/>
    <mergeCell ref="I198:J198"/>
    <mergeCell ref="B199:D199"/>
    <mergeCell ref="I199:J199"/>
    <mergeCell ref="B200:D200"/>
    <mergeCell ref="I200:J200"/>
    <mergeCell ref="B208:D208"/>
    <mergeCell ref="E208:F208"/>
    <mergeCell ref="G208:H208"/>
    <mergeCell ref="I208:J208"/>
    <mergeCell ref="B209:D209"/>
    <mergeCell ref="E209:F209"/>
    <mergeCell ref="G209:H209"/>
    <mergeCell ref="I209:J209"/>
    <mergeCell ref="B206:D206"/>
    <mergeCell ref="E206:F206"/>
    <mergeCell ref="G206:H206"/>
    <mergeCell ref="I206:J206"/>
    <mergeCell ref="B207:D207"/>
    <mergeCell ref="E207:F207"/>
    <mergeCell ref="G207:H207"/>
    <mergeCell ref="I207:J207"/>
    <mergeCell ref="B210:D210"/>
    <mergeCell ref="E210:F210"/>
    <mergeCell ref="G210:H210"/>
    <mergeCell ref="I210:J210"/>
    <mergeCell ref="A212:J212"/>
    <mergeCell ref="A214:A215"/>
    <mergeCell ref="B214:D215"/>
    <mergeCell ref="E214:E215"/>
    <mergeCell ref="F214:F215"/>
    <mergeCell ref="G214:J214"/>
    <mergeCell ref="B220:D220"/>
    <mergeCell ref="B221:D221"/>
    <mergeCell ref="B222:D222"/>
    <mergeCell ref="B223:D223"/>
    <mergeCell ref="B224:D224"/>
    <mergeCell ref="B225:D225"/>
    <mergeCell ref="K214:L214"/>
    <mergeCell ref="B216:D216"/>
    <mergeCell ref="G216:J216"/>
    <mergeCell ref="B217:D217"/>
    <mergeCell ref="B218:D218"/>
    <mergeCell ref="B219:D219"/>
    <mergeCell ref="B232:D232"/>
    <mergeCell ref="B233:D233"/>
    <mergeCell ref="B234:D234"/>
    <mergeCell ref="B235:D235"/>
    <mergeCell ref="G235:J235"/>
    <mergeCell ref="A237:J237"/>
    <mergeCell ref="B226:D226"/>
    <mergeCell ref="B227:D227"/>
    <mergeCell ref="B228:D228"/>
    <mergeCell ref="B229:D229"/>
    <mergeCell ref="B230:D230"/>
    <mergeCell ref="B231:D231"/>
    <mergeCell ref="A243:A244"/>
    <mergeCell ref="B243:D244"/>
    <mergeCell ref="E243:F244"/>
    <mergeCell ref="K243:K244"/>
    <mergeCell ref="K238:L238"/>
    <mergeCell ref="A239:A240"/>
    <mergeCell ref="B239:D240"/>
    <mergeCell ref="E239:F240"/>
    <mergeCell ref="G239:J239"/>
    <mergeCell ref="B241:D241"/>
    <mergeCell ref="E241:F241"/>
    <mergeCell ref="G241:J241"/>
    <mergeCell ref="L243:L244"/>
    <mergeCell ref="B245:D245"/>
    <mergeCell ref="E245:F245"/>
    <mergeCell ref="B246:D246"/>
    <mergeCell ref="E246:F246"/>
    <mergeCell ref="B247:D247"/>
    <mergeCell ref="E247:F247"/>
    <mergeCell ref="B242:D242"/>
    <mergeCell ref="E242:F242"/>
    <mergeCell ref="B251:D251"/>
    <mergeCell ref="E251:F251"/>
    <mergeCell ref="B252:D252"/>
    <mergeCell ref="E252:F252"/>
    <mergeCell ref="B253:D253"/>
    <mergeCell ref="E253:F253"/>
    <mergeCell ref="B248:D248"/>
    <mergeCell ref="E248:F248"/>
    <mergeCell ref="B249:D249"/>
    <mergeCell ref="E249:F249"/>
    <mergeCell ref="B250:D250"/>
    <mergeCell ref="E250:F250"/>
    <mergeCell ref="B257:D257"/>
    <mergeCell ref="E257:F257"/>
    <mergeCell ref="B258:D258"/>
    <mergeCell ref="E258:F258"/>
    <mergeCell ref="B259:D259"/>
    <mergeCell ref="E259:F259"/>
    <mergeCell ref="B254:D254"/>
    <mergeCell ref="E254:F254"/>
    <mergeCell ref="B255:D255"/>
    <mergeCell ref="E255:F255"/>
    <mergeCell ref="B256:D256"/>
    <mergeCell ref="E256:F256"/>
    <mergeCell ref="B263:D263"/>
    <mergeCell ref="E263:F263"/>
    <mergeCell ref="G263:J263"/>
    <mergeCell ref="A265:J265"/>
    <mergeCell ref="B267:D267"/>
    <mergeCell ref="E267:F267"/>
    <mergeCell ref="G267:H267"/>
    <mergeCell ref="I267:J267"/>
    <mergeCell ref="B260:D260"/>
    <mergeCell ref="E260:F260"/>
    <mergeCell ref="B261:D261"/>
    <mergeCell ref="E261:F261"/>
    <mergeCell ref="B262:D262"/>
    <mergeCell ref="E262:F262"/>
    <mergeCell ref="B270:D270"/>
    <mergeCell ref="G270:H270"/>
    <mergeCell ref="I270:J270"/>
    <mergeCell ref="B271:D271"/>
    <mergeCell ref="G271:H271"/>
    <mergeCell ref="I271:J271"/>
    <mergeCell ref="B268:D268"/>
    <mergeCell ref="E268:F268"/>
    <mergeCell ref="G268:H268"/>
    <mergeCell ref="I268:J268"/>
    <mergeCell ref="B269:D269"/>
    <mergeCell ref="G269:H269"/>
    <mergeCell ref="I269:J269"/>
    <mergeCell ref="B274:D274"/>
    <mergeCell ref="G274:H274"/>
    <mergeCell ref="I274:J274"/>
    <mergeCell ref="B275:D275"/>
    <mergeCell ref="G275:H275"/>
    <mergeCell ref="I275:J275"/>
    <mergeCell ref="B272:D272"/>
    <mergeCell ref="G272:H272"/>
    <mergeCell ref="I272:J272"/>
    <mergeCell ref="B273:D273"/>
    <mergeCell ref="G273:H273"/>
    <mergeCell ref="I273:J273"/>
    <mergeCell ref="B278:D278"/>
    <mergeCell ref="G278:H278"/>
    <mergeCell ref="I278:J278"/>
    <mergeCell ref="B279:D279"/>
    <mergeCell ref="E279:F279"/>
    <mergeCell ref="G279:H279"/>
    <mergeCell ref="I279:J279"/>
    <mergeCell ref="B276:D276"/>
    <mergeCell ref="G276:H276"/>
    <mergeCell ref="I276:J276"/>
    <mergeCell ref="B277:D277"/>
    <mergeCell ref="G277:H277"/>
    <mergeCell ref="I277:J277"/>
    <mergeCell ref="B285:D285"/>
    <mergeCell ref="G285:H285"/>
    <mergeCell ref="I285:J285"/>
    <mergeCell ref="B286:D286"/>
    <mergeCell ref="G286:H286"/>
    <mergeCell ref="I286:J286"/>
    <mergeCell ref="A281:J281"/>
    <mergeCell ref="B283:D283"/>
    <mergeCell ref="E283:F283"/>
    <mergeCell ref="G283:H283"/>
    <mergeCell ref="I283:J283"/>
    <mergeCell ref="B284:D284"/>
    <mergeCell ref="E284:F284"/>
    <mergeCell ref="G284:H284"/>
    <mergeCell ref="I284:J284"/>
    <mergeCell ref="B289:D289"/>
    <mergeCell ref="G289:H289"/>
    <mergeCell ref="I289:J289"/>
    <mergeCell ref="B290:D290"/>
    <mergeCell ref="G290:H290"/>
    <mergeCell ref="I290:J290"/>
    <mergeCell ref="B287:D287"/>
    <mergeCell ref="G287:H287"/>
    <mergeCell ref="I287:J287"/>
    <mergeCell ref="B288:D288"/>
    <mergeCell ref="G288:H288"/>
    <mergeCell ref="I288:J288"/>
    <mergeCell ref="B293:D293"/>
    <mergeCell ref="G293:H293"/>
    <mergeCell ref="I293:J293"/>
    <mergeCell ref="B294:D294"/>
    <mergeCell ref="G294:H294"/>
    <mergeCell ref="I294:J294"/>
    <mergeCell ref="B291:D291"/>
    <mergeCell ref="G291:H291"/>
    <mergeCell ref="I291:J291"/>
    <mergeCell ref="B292:D292"/>
    <mergeCell ref="G292:H292"/>
    <mergeCell ref="I292:J292"/>
    <mergeCell ref="B297:D297"/>
    <mergeCell ref="G297:H297"/>
    <mergeCell ref="I297:J297"/>
    <mergeCell ref="B298:D298"/>
    <mergeCell ref="G298:H298"/>
    <mergeCell ref="I298:J298"/>
    <mergeCell ref="B295:D295"/>
    <mergeCell ref="G295:H295"/>
    <mergeCell ref="I295:J295"/>
    <mergeCell ref="B296:D296"/>
    <mergeCell ref="G296:H296"/>
    <mergeCell ref="I296:J296"/>
    <mergeCell ref="B304:D304"/>
    <mergeCell ref="E304:F304"/>
    <mergeCell ref="G304:H304"/>
    <mergeCell ref="I304:J304"/>
    <mergeCell ref="B305:D305"/>
    <mergeCell ref="G305:H305"/>
    <mergeCell ref="I305:J305"/>
    <mergeCell ref="B299:D299"/>
    <mergeCell ref="E299:F299"/>
    <mergeCell ref="G299:H299"/>
    <mergeCell ref="I299:J299"/>
    <mergeCell ref="A301:J301"/>
    <mergeCell ref="B303:D303"/>
    <mergeCell ref="E303:F303"/>
    <mergeCell ref="G303:H303"/>
    <mergeCell ref="I303:J303"/>
    <mergeCell ref="I312:J312"/>
    <mergeCell ref="I314:J314"/>
    <mergeCell ref="I315:J315"/>
    <mergeCell ref="I316:J316"/>
    <mergeCell ref="I317:J317"/>
    <mergeCell ref="B306:D306"/>
    <mergeCell ref="G306:H306"/>
    <mergeCell ref="I306:J306"/>
    <mergeCell ref="B307:D307"/>
    <mergeCell ref="E307:F307"/>
    <mergeCell ref="G307:H307"/>
    <mergeCell ref="I307:J307"/>
  </mergeCells>
  <printOptions horizontalCentered="1"/>
  <pageMargins left="0.98425196850393704" right="0.19685039370078741" top="0.39370078740157483" bottom="0.39370078740157483" header="0.31496062992125984" footer="0.31496062992125984"/>
  <pageSetup paperSize="9" scale="78" fitToHeight="10" orientation="portrait" r:id="rId1"/>
  <rowBreaks count="4" manualBreakCount="4">
    <brk id="130" max="9" man="1"/>
    <brk id="181" max="9" man="1"/>
    <brk id="211" max="9" man="1"/>
    <brk id="28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view="pageBreakPreview" topLeftCell="A206" zoomScale="60" zoomScaleNormal="100" workbookViewId="0">
      <selection activeCell="A182" sqref="A182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3" width="9.140625" style="1"/>
    <col min="4" max="4" width="17.140625" style="1" customWidth="1"/>
    <col min="5" max="5" width="13.140625" style="1" customWidth="1"/>
    <col min="6" max="6" width="10.7109375" style="1" customWidth="1"/>
    <col min="7" max="7" width="12.28515625" style="1" customWidth="1"/>
    <col min="8" max="8" width="10.7109375" style="1" customWidth="1"/>
    <col min="9" max="9" width="11.5703125" style="1" customWidth="1"/>
    <col min="10" max="10" width="17.5703125" style="1" customWidth="1"/>
    <col min="11" max="11" width="16.42578125" style="1" customWidth="1"/>
    <col min="12" max="12" width="18.140625" style="1" customWidth="1"/>
    <col min="13" max="13" width="9.7109375" style="1" customWidth="1"/>
    <col min="14" max="14" width="14" style="1" customWidth="1"/>
    <col min="15" max="16384" width="9.140625" style="1"/>
  </cols>
  <sheetData>
    <row r="1" spans="1:11" ht="15.75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15.75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15.75" x14ac:dyDescent="0.25">
      <c r="A3" s="432" t="s">
        <v>600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5.75" x14ac:dyDescent="0.25">
      <c r="A4" s="92"/>
      <c r="B4" s="93"/>
      <c r="C4" s="93"/>
      <c r="D4" s="94" t="s">
        <v>266</v>
      </c>
      <c r="E4" s="294">
        <v>2021</v>
      </c>
      <c r="F4" s="96" t="s">
        <v>647</v>
      </c>
      <c r="G4" s="93"/>
      <c r="H4" s="93"/>
      <c r="I4" s="93"/>
      <c r="J4" s="93"/>
    </row>
    <row r="5" spans="1:11" ht="15.75" x14ac:dyDescent="0.25">
      <c r="A5" s="433" t="s">
        <v>0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1" ht="15.75" x14ac:dyDescent="0.25">
      <c r="A6" s="92" t="s">
        <v>80</v>
      </c>
      <c r="B6" s="93"/>
      <c r="C6" s="97">
        <v>111</v>
      </c>
      <c r="D6" s="97">
        <v>112</v>
      </c>
      <c r="E6" s="97">
        <v>119</v>
      </c>
      <c r="F6" s="98"/>
      <c r="G6" s="98"/>
      <c r="H6" s="98"/>
      <c r="I6" s="98"/>
      <c r="J6" s="98"/>
    </row>
    <row r="7" spans="1:11" ht="15.75" x14ac:dyDescent="0.25">
      <c r="A7" s="92" t="s">
        <v>81</v>
      </c>
      <c r="B7" s="93"/>
      <c r="C7" s="93"/>
      <c r="D7" s="93"/>
      <c r="E7" s="99"/>
      <c r="F7" s="100"/>
      <c r="G7" s="99"/>
      <c r="H7" s="100"/>
      <c r="I7" s="100"/>
      <c r="J7" s="100"/>
    </row>
    <row r="8" spans="1:11" ht="15.75" x14ac:dyDescent="0.25">
      <c r="A8" s="434" t="s">
        <v>351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1" x14ac:dyDescent="0.25">
      <c r="A9" s="435" t="s">
        <v>1</v>
      </c>
      <c r="B9" s="410" t="s">
        <v>2</v>
      </c>
      <c r="C9" s="410" t="s">
        <v>3</v>
      </c>
      <c r="D9" s="435" t="s">
        <v>4</v>
      </c>
      <c r="E9" s="435"/>
      <c r="F9" s="435"/>
      <c r="G9" s="435"/>
      <c r="H9" s="435" t="s">
        <v>5</v>
      </c>
      <c r="I9" s="410" t="s">
        <v>6</v>
      </c>
      <c r="J9" s="410" t="s">
        <v>316</v>
      </c>
    </row>
    <row r="10" spans="1:11" x14ac:dyDescent="0.25">
      <c r="A10" s="435"/>
      <c r="B10" s="410"/>
      <c r="C10" s="410"/>
      <c r="D10" s="410" t="s">
        <v>8</v>
      </c>
      <c r="E10" s="410" t="s">
        <v>9</v>
      </c>
      <c r="F10" s="410"/>
      <c r="G10" s="410"/>
      <c r="H10" s="435"/>
      <c r="I10" s="410"/>
      <c r="J10" s="410"/>
    </row>
    <row r="11" spans="1:11" ht="75" x14ac:dyDescent="0.25">
      <c r="A11" s="435"/>
      <c r="B11" s="410"/>
      <c r="C11" s="410"/>
      <c r="D11" s="410"/>
      <c r="E11" s="290" t="s">
        <v>10</v>
      </c>
      <c r="F11" s="290" t="s">
        <v>11</v>
      </c>
      <c r="G11" s="290" t="s">
        <v>12</v>
      </c>
      <c r="H11" s="435"/>
      <c r="I11" s="410"/>
      <c r="J11" s="410"/>
    </row>
    <row r="12" spans="1:11" ht="15.75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>
        <v>10</v>
      </c>
    </row>
    <row r="13" spans="1:11" s="41" customFormat="1" x14ac:dyDescent="0.2">
      <c r="A13" s="409" t="s">
        <v>352</v>
      </c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1" s="41" customFormat="1" x14ac:dyDescent="0.2">
      <c r="A14" s="438" t="s">
        <v>319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1" x14ac:dyDescent="0.25">
      <c r="A15" s="295">
        <v>1</v>
      </c>
      <c r="B15" s="130" t="s">
        <v>514</v>
      </c>
      <c r="C15" s="295">
        <v>1</v>
      </c>
      <c r="D15" s="131">
        <f>E15+F15+G15</f>
        <v>25887.599999999999</v>
      </c>
      <c r="E15" s="131">
        <v>21573</v>
      </c>
      <c r="F15" s="131"/>
      <c r="G15" s="131">
        <v>4314.6000000000004</v>
      </c>
      <c r="H15" s="132">
        <v>50</v>
      </c>
      <c r="I15" s="295">
        <v>1.7</v>
      </c>
      <c r="J15" s="133">
        <f>((C15*D15*(H15/100+I15))*12)</f>
        <v>683432.64</v>
      </c>
    </row>
    <row r="16" spans="1:11" x14ac:dyDescent="0.25">
      <c r="A16" s="134"/>
      <c r="B16" s="135" t="s">
        <v>320</v>
      </c>
      <c r="C16" s="136">
        <f>SUM(C15:C15)</f>
        <v>1</v>
      </c>
      <c r="D16" s="137">
        <f>SUM(D15:D15)</f>
        <v>25887.599999999999</v>
      </c>
      <c r="E16" s="136" t="s">
        <v>14</v>
      </c>
      <c r="F16" s="136" t="s">
        <v>14</v>
      </c>
      <c r="G16" s="136" t="s">
        <v>14</v>
      </c>
      <c r="H16" s="136" t="s">
        <v>14</v>
      </c>
      <c r="I16" s="136" t="s">
        <v>14</v>
      </c>
      <c r="J16" s="137">
        <f>SUM(J15:J15)</f>
        <v>683432.64</v>
      </c>
      <c r="K16" s="151"/>
    </row>
    <row r="17" spans="1:11" x14ac:dyDescent="0.25">
      <c r="A17" s="436" t="s">
        <v>321</v>
      </c>
      <c r="B17" s="437"/>
      <c r="C17" s="437"/>
      <c r="D17" s="437"/>
      <c r="E17" s="437"/>
      <c r="F17" s="437"/>
      <c r="G17" s="437"/>
      <c r="H17" s="437"/>
      <c r="I17" s="437"/>
      <c r="J17" s="437"/>
    </row>
    <row r="18" spans="1:11" ht="30" x14ac:dyDescent="0.25">
      <c r="A18" s="295">
        <v>2</v>
      </c>
      <c r="B18" s="130" t="s">
        <v>601</v>
      </c>
      <c r="C18" s="295">
        <v>27.22</v>
      </c>
      <c r="D18" s="131">
        <f>E18+F18+G18</f>
        <v>13294.8</v>
      </c>
      <c r="E18" s="149">
        <v>11079</v>
      </c>
      <c r="F18" s="131"/>
      <c r="G18" s="131">
        <f>E18*20%</f>
        <v>2215.8000000000002</v>
      </c>
      <c r="H18" s="132">
        <v>50</v>
      </c>
      <c r="I18" s="295">
        <v>1.7</v>
      </c>
      <c r="J18" s="153">
        <f>(C18*D18*(H18/100+I18))*12</f>
        <v>9553749.6383999996</v>
      </c>
      <c r="K18" s="147"/>
    </row>
    <row r="19" spans="1:11" x14ac:dyDescent="0.25">
      <c r="A19" s="295">
        <v>3</v>
      </c>
      <c r="B19" s="130" t="s">
        <v>516</v>
      </c>
      <c r="C19" s="295">
        <v>1</v>
      </c>
      <c r="D19" s="131">
        <f t="shared" ref="D19:D31" si="0">E19+F19+G19</f>
        <v>14373.6</v>
      </c>
      <c r="E19" s="149">
        <v>11978</v>
      </c>
      <c r="F19" s="131"/>
      <c r="G19" s="131">
        <f t="shared" ref="G19:G23" si="1">E19*20%</f>
        <v>2395.6</v>
      </c>
      <c r="H19" s="132">
        <v>50</v>
      </c>
      <c r="I19" s="295">
        <v>1.7</v>
      </c>
      <c r="J19" s="153">
        <f t="shared" ref="J19:J23" si="2">(C19*D19*(H19/100+I19))*12</f>
        <v>379463.04000000004</v>
      </c>
    </row>
    <row r="20" spans="1:11" x14ac:dyDescent="0.25">
      <c r="A20" s="295">
        <v>4</v>
      </c>
      <c r="B20" s="130" t="s">
        <v>373</v>
      </c>
      <c r="C20" s="295">
        <v>1</v>
      </c>
      <c r="D20" s="131">
        <f t="shared" si="0"/>
        <v>12248.4</v>
      </c>
      <c r="E20" s="149">
        <v>10207</v>
      </c>
      <c r="F20" s="131"/>
      <c r="G20" s="131">
        <f t="shared" si="1"/>
        <v>2041.4</v>
      </c>
      <c r="H20" s="132">
        <v>50</v>
      </c>
      <c r="I20" s="295">
        <v>1.7</v>
      </c>
      <c r="J20" s="153">
        <f t="shared" si="2"/>
        <v>323357.76</v>
      </c>
    </row>
    <row r="21" spans="1:11" x14ac:dyDescent="0.25">
      <c r="A21" s="295">
        <v>5</v>
      </c>
      <c r="B21" s="130" t="s">
        <v>372</v>
      </c>
      <c r="C21" s="295">
        <v>1</v>
      </c>
      <c r="D21" s="131">
        <f t="shared" si="0"/>
        <v>12248.4</v>
      </c>
      <c r="E21" s="149">
        <v>10207</v>
      </c>
      <c r="F21" s="131"/>
      <c r="G21" s="131">
        <f t="shared" si="1"/>
        <v>2041.4</v>
      </c>
      <c r="H21" s="132">
        <v>50</v>
      </c>
      <c r="I21" s="295">
        <v>1.7</v>
      </c>
      <c r="J21" s="153">
        <f t="shared" si="2"/>
        <v>323357.76</v>
      </c>
      <c r="K21" s="89"/>
    </row>
    <row r="22" spans="1:11" ht="30" x14ac:dyDescent="0.25">
      <c r="A22" s="295">
        <v>6</v>
      </c>
      <c r="B22" s="130" t="s">
        <v>517</v>
      </c>
      <c r="C22" s="295">
        <v>1</v>
      </c>
      <c r="D22" s="131">
        <f t="shared" si="0"/>
        <v>12248.4</v>
      </c>
      <c r="E22" s="149">
        <v>10207</v>
      </c>
      <c r="F22" s="131"/>
      <c r="G22" s="131">
        <f t="shared" si="1"/>
        <v>2041.4</v>
      </c>
      <c r="H22" s="132">
        <v>50</v>
      </c>
      <c r="I22" s="295">
        <v>1.7</v>
      </c>
      <c r="J22" s="153">
        <f t="shared" si="2"/>
        <v>323357.76</v>
      </c>
      <c r="K22" s="150"/>
    </row>
    <row r="23" spans="1:11" x14ac:dyDescent="0.25">
      <c r="A23" s="295">
        <v>7</v>
      </c>
      <c r="B23" s="130" t="s">
        <v>521</v>
      </c>
      <c r="C23" s="295">
        <v>1</v>
      </c>
      <c r="D23" s="131">
        <f>E23+F23+G23</f>
        <v>12248.4</v>
      </c>
      <c r="E23" s="149">
        <v>10207</v>
      </c>
      <c r="F23" s="131"/>
      <c r="G23" s="131">
        <f t="shared" si="1"/>
        <v>2041.4</v>
      </c>
      <c r="H23" s="132">
        <v>50</v>
      </c>
      <c r="I23" s="295">
        <v>1.7</v>
      </c>
      <c r="J23" s="153">
        <f t="shared" si="2"/>
        <v>323357.76</v>
      </c>
    </row>
    <row r="24" spans="1:11" x14ac:dyDescent="0.25">
      <c r="A24" s="134"/>
      <c r="B24" s="135" t="s">
        <v>324</v>
      </c>
      <c r="C24" s="136">
        <f>SUM(C18:C23)</f>
        <v>32.22</v>
      </c>
      <c r="D24" s="138">
        <f>SUM(D18:D23)</f>
        <v>76662</v>
      </c>
      <c r="E24" s="136" t="s">
        <v>14</v>
      </c>
      <c r="F24" s="136" t="s">
        <v>14</v>
      </c>
      <c r="G24" s="136" t="s">
        <v>14</v>
      </c>
      <c r="H24" s="136" t="s">
        <v>14</v>
      </c>
      <c r="I24" s="136" t="s">
        <v>14</v>
      </c>
      <c r="J24" s="138">
        <f>SUM(J18:J23)</f>
        <v>11226643.718399998</v>
      </c>
    </row>
    <row r="25" spans="1:11" x14ac:dyDescent="0.25">
      <c r="A25" s="436" t="s">
        <v>325</v>
      </c>
      <c r="B25" s="437"/>
      <c r="C25" s="437"/>
      <c r="D25" s="437"/>
      <c r="E25" s="437"/>
      <c r="F25" s="437"/>
      <c r="G25" s="437"/>
      <c r="H25" s="437"/>
      <c r="I25" s="437"/>
      <c r="J25" s="437"/>
    </row>
    <row r="26" spans="1:11" x14ac:dyDescent="0.25">
      <c r="A26" s="295">
        <v>8</v>
      </c>
      <c r="B26" s="130" t="s">
        <v>524</v>
      </c>
      <c r="C26" s="295">
        <v>0.5</v>
      </c>
      <c r="D26" s="131">
        <f t="shared" si="0"/>
        <v>10615.2</v>
      </c>
      <c r="E26" s="149">
        <v>8846</v>
      </c>
      <c r="F26" s="131"/>
      <c r="G26" s="131">
        <f>E26*20%</f>
        <v>1769.2</v>
      </c>
      <c r="H26" s="132">
        <v>50</v>
      </c>
      <c r="I26" s="295">
        <v>1.7</v>
      </c>
      <c r="J26" s="133">
        <f t="shared" ref="J26" si="3">(C26*D26*(H26/100+I26))*12</f>
        <v>140120.64000000001</v>
      </c>
      <c r="K26" s="150"/>
    </row>
    <row r="27" spans="1:11" x14ac:dyDescent="0.25">
      <c r="A27" s="134"/>
      <c r="B27" s="135" t="s">
        <v>327</v>
      </c>
      <c r="C27" s="136">
        <f>SUM(C26:C26)</f>
        <v>0.5</v>
      </c>
      <c r="D27" s="138">
        <f>SUM(D26:D26)</f>
        <v>10615.2</v>
      </c>
      <c r="E27" s="136" t="s">
        <v>14</v>
      </c>
      <c r="F27" s="136" t="s">
        <v>14</v>
      </c>
      <c r="G27" s="136" t="s">
        <v>14</v>
      </c>
      <c r="H27" s="136" t="s">
        <v>14</v>
      </c>
      <c r="I27" s="136" t="s">
        <v>14</v>
      </c>
      <c r="J27" s="139">
        <f>SUM(J26:J26)</f>
        <v>140120.64000000001</v>
      </c>
    </row>
    <row r="28" spans="1:11" x14ac:dyDescent="0.25">
      <c r="A28" s="436" t="s">
        <v>328</v>
      </c>
      <c r="B28" s="439"/>
      <c r="C28" s="439"/>
      <c r="D28" s="439"/>
      <c r="E28" s="439"/>
      <c r="F28" s="439"/>
      <c r="G28" s="439"/>
      <c r="H28" s="439"/>
      <c r="I28" s="439"/>
      <c r="J28" s="439"/>
    </row>
    <row r="29" spans="1:11" x14ac:dyDescent="0.25">
      <c r="A29" s="295">
        <v>9</v>
      </c>
      <c r="B29" s="130" t="s">
        <v>525</v>
      </c>
      <c r="C29" s="295">
        <v>0.5</v>
      </c>
      <c r="D29" s="131">
        <f t="shared" si="0"/>
        <v>11472</v>
      </c>
      <c r="E29" s="149">
        <v>9560</v>
      </c>
      <c r="F29" s="131"/>
      <c r="G29" s="131">
        <f>E29*20%</f>
        <v>1912</v>
      </c>
      <c r="H29" s="132">
        <v>50</v>
      </c>
      <c r="I29" s="295">
        <v>1.7</v>
      </c>
      <c r="J29" s="133">
        <f>((C29*D29*(H29/100+I29))*12)</f>
        <v>151430.40000000002</v>
      </c>
      <c r="K29" s="150"/>
    </row>
    <row r="30" spans="1:11" x14ac:dyDescent="0.25">
      <c r="A30" s="295">
        <v>10</v>
      </c>
      <c r="B30" s="130" t="s">
        <v>526</v>
      </c>
      <c r="C30" s="295">
        <v>2.2000000000000002</v>
      </c>
      <c r="D30" s="131">
        <f>E30+F30+G30</f>
        <v>11472</v>
      </c>
      <c r="E30" s="149">
        <v>9560</v>
      </c>
      <c r="F30" s="131"/>
      <c r="G30" s="131">
        <f t="shared" ref="G30:G31" si="4">E30*20%</f>
        <v>1912</v>
      </c>
      <c r="H30" s="132">
        <v>50</v>
      </c>
      <c r="I30" s="295">
        <v>1.7</v>
      </c>
      <c r="J30" s="133">
        <f t="shared" ref="J30:J31" si="5">((C30*D30*(H30/100+I30))*12)</f>
        <v>666293.76000000013</v>
      </c>
      <c r="K30" s="150"/>
    </row>
    <row r="31" spans="1:11" x14ac:dyDescent="0.25">
      <c r="A31" s="295">
        <v>11</v>
      </c>
      <c r="B31" s="130" t="s">
        <v>527</v>
      </c>
      <c r="C31" s="295">
        <v>1</v>
      </c>
      <c r="D31" s="131">
        <f t="shared" si="0"/>
        <v>11640</v>
      </c>
      <c r="E31" s="149">
        <v>9700</v>
      </c>
      <c r="F31" s="131"/>
      <c r="G31" s="131">
        <f t="shared" si="4"/>
        <v>1940</v>
      </c>
      <c r="H31" s="132">
        <v>50</v>
      </c>
      <c r="I31" s="295">
        <v>1.7</v>
      </c>
      <c r="J31" s="133">
        <f t="shared" si="5"/>
        <v>307296.00000000006</v>
      </c>
    </row>
    <row r="32" spans="1:11" x14ac:dyDescent="0.25">
      <c r="A32" s="134"/>
      <c r="B32" s="135" t="s">
        <v>317</v>
      </c>
      <c r="C32" s="136">
        <f>SUM(C29:C31)</f>
        <v>3.7</v>
      </c>
      <c r="D32" s="138">
        <f>SUM(D29:D31)</f>
        <v>34584</v>
      </c>
      <c r="E32" s="136" t="s">
        <v>14</v>
      </c>
      <c r="F32" s="136" t="s">
        <v>14</v>
      </c>
      <c r="G32" s="136" t="s">
        <v>14</v>
      </c>
      <c r="H32" s="136" t="s">
        <v>14</v>
      </c>
      <c r="I32" s="136" t="s">
        <v>14</v>
      </c>
      <c r="J32" s="139">
        <f>SUM(J29:J31)</f>
        <v>1125020.1600000001</v>
      </c>
      <c r="K32" s="151"/>
    </row>
    <row r="33" spans="1:12" x14ac:dyDescent="0.25">
      <c r="A33" s="429" t="s">
        <v>336</v>
      </c>
      <c r="B33" s="430"/>
      <c r="C33" s="430"/>
      <c r="D33" s="430"/>
      <c r="E33" s="430"/>
      <c r="F33" s="430"/>
      <c r="G33" s="430"/>
      <c r="H33" s="430"/>
      <c r="I33" s="431"/>
      <c r="J33" s="202">
        <f>(J16+J24+J27+J32)*10%</f>
        <v>1317521.71584</v>
      </c>
      <c r="K33" s="151"/>
    </row>
    <row r="34" spans="1:12" s="41" customFormat="1" x14ac:dyDescent="0.2">
      <c r="A34" s="441" t="s">
        <v>531</v>
      </c>
      <c r="B34" s="442"/>
      <c r="C34" s="442"/>
      <c r="D34" s="442"/>
      <c r="E34" s="442"/>
      <c r="F34" s="442"/>
      <c r="G34" s="442"/>
      <c r="H34" s="442"/>
      <c r="I34" s="442"/>
      <c r="J34" s="141">
        <v>6090672.9000000004</v>
      </c>
    </row>
    <row r="35" spans="1:12" s="41" customFormat="1" x14ac:dyDescent="0.2">
      <c r="A35" s="441" t="s">
        <v>318</v>
      </c>
      <c r="B35" s="442"/>
      <c r="C35" s="442"/>
      <c r="D35" s="442"/>
      <c r="E35" s="442"/>
      <c r="F35" s="442"/>
      <c r="G35" s="442"/>
      <c r="H35" s="442"/>
      <c r="I35" s="442"/>
      <c r="J35" s="141">
        <v>66000</v>
      </c>
    </row>
    <row r="36" spans="1:12" x14ac:dyDescent="0.25">
      <c r="A36" s="436" t="s">
        <v>604</v>
      </c>
      <c r="B36" s="437"/>
      <c r="C36" s="437"/>
      <c r="D36" s="437"/>
      <c r="E36" s="437"/>
      <c r="F36" s="437"/>
      <c r="G36" s="437"/>
      <c r="H36" s="437"/>
      <c r="I36" s="437"/>
      <c r="J36" s="437"/>
    </row>
    <row r="37" spans="1:12" ht="30" x14ac:dyDescent="0.25">
      <c r="A37" s="295">
        <v>12</v>
      </c>
      <c r="B37" s="130" t="s">
        <v>601</v>
      </c>
      <c r="C37" s="295">
        <v>0.7</v>
      </c>
      <c r="D37" s="131">
        <f>E37+F37+G37</f>
        <v>13145.220000000001</v>
      </c>
      <c r="E37" s="149">
        <v>10954.35</v>
      </c>
      <c r="F37" s="131"/>
      <c r="G37" s="131">
        <f>E37*20%</f>
        <v>2190.8700000000003</v>
      </c>
      <c r="H37" s="132">
        <v>50</v>
      </c>
      <c r="I37" s="295">
        <v>1.7</v>
      </c>
      <c r="J37" s="153">
        <f>(C37*D37*(H37/100+I37))*12</f>
        <v>242923.66560000007</v>
      </c>
      <c r="K37" s="147"/>
    </row>
    <row r="38" spans="1:12" x14ac:dyDescent="0.25">
      <c r="A38" s="429" t="s">
        <v>605</v>
      </c>
      <c r="B38" s="430"/>
      <c r="C38" s="430"/>
      <c r="D38" s="430"/>
      <c r="E38" s="430"/>
      <c r="F38" s="430"/>
      <c r="G38" s="430"/>
      <c r="H38" s="430"/>
      <c r="I38" s="431"/>
      <c r="J38" s="202">
        <f>J37*10%-7216.03</f>
        <v>17076.336560000011</v>
      </c>
      <c r="K38" s="151"/>
    </row>
    <row r="39" spans="1:12" x14ac:dyDescent="0.25">
      <c r="A39" s="440" t="s">
        <v>602</v>
      </c>
      <c r="B39" s="440"/>
      <c r="C39" s="90">
        <f>C16+C24+C27+C32</f>
        <v>37.42</v>
      </c>
      <c r="D39" s="91">
        <f>D16+D24+D27+D32</f>
        <v>147748.79999999999</v>
      </c>
      <c r="E39" s="90" t="s">
        <v>14</v>
      </c>
      <c r="F39" s="90" t="s">
        <v>14</v>
      </c>
      <c r="G39" s="90" t="s">
        <v>14</v>
      </c>
      <c r="H39" s="90" t="s">
        <v>14</v>
      </c>
      <c r="I39" s="90" t="s">
        <v>14</v>
      </c>
      <c r="J39" s="203">
        <f>J16+J24+J27+J32+J33+J34+J35-449248.53</f>
        <v>20200163.244240001</v>
      </c>
      <c r="K39" s="89"/>
      <c r="L39" s="89"/>
    </row>
    <row r="40" spans="1:12" x14ac:dyDescent="0.25">
      <c r="A40" s="440" t="s">
        <v>606</v>
      </c>
      <c r="B40" s="440"/>
      <c r="C40" s="90">
        <f>C37</f>
        <v>0.7</v>
      </c>
      <c r="D40" s="91">
        <f>D37</f>
        <v>13145.220000000001</v>
      </c>
      <c r="E40" s="90" t="s">
        <v>14</v>
      </c>
      <c r="F40" s="90" t="s">
        <v>14</v>
      </c>
      <c r="G40" s="90" t="s">
        <v>14</v>
      </c>
      <c r="H40" s="90" t="s">
        <v>14</v>
      </c>
      <c r="I40" s="90" t="s">
        <v>14</v>
      </c>
      <c r="J40" s="203">
        <f>J37+J38</f>
        <v>260000.00216000009</v>
      </c>
      <c r="K40" s="89"/>
      <c r="L40" s="89"/>
    </row>
    <row r="41" spans="1:12" x14ac:dyDescent="0.25">
      <c r="A41" s="411" t="s">
        <v>353</v>
      </c>
      <c r="B41" s="412"/>
      <c r="C41" s="412"/>
      <c r="D41" s="412"/>
      <c r="E41" s="412"/>
      <c r="F41" s="412"/>
      <c r="G41" s="412"/>
      <c r="H41" s="412"/>
      <c r="I41" s="412"/>
      <c r="J41" s="413"/>
    </row>
    <row r="42" spans="1:12" ht="25.5" x14ac:dyDescent="0.25">
      <c r="A42" s="292" t="s">
        <v>1</v>
      </c>
      <c r="B42" s="427" t="s">
        <v>44</v>
      </c>
      <c r="C42" s="427"/>
      <c r="D42" s="427"/>
      <c r="E42" s="427" t="s">
        <v>45</v>
      </c>
      <c r="F42" s="427"/>
      <c r="G42" s="427" t="s">
        <v>46</v>
      </c>
      <c r="H42" s="427"/>
      <c r="I42" s="427" t="s">
        <v>102</v>
      </c>
      <c r="J42" s="427"/>
    </row>
    <row r="43" spans="1:12" x14ac:dyDescent="0.25">
      <c r="A43" s="293">
        <v>1</v>
      </c>
      <c r="B43" s="428">
        <v>2</v>
      </c>
      <c r="C43" s="428"/>
      <c r="D43" s="428"/>
      <c r="E43" s="428">
        <v>3</v>
      </c>
      <c r="F43" s="428"/>
      <c r="G43" s="428">
        <v>4</v>
      </c>
      <c r="H43" s="428"/>
      <c r="I43" s="428">
        <v>5</v>
      </c>
      <c r="J43" s="428"/>
    </row>
    <row r="44" spans="1:12" x14ac:dyDescent="0.25">
      <c r="A44" s="213">
        <v>1</v>
      </c>
      <c r="B44" s="414" t="s">
        <v>607</v>
      </c>
      <c r="C44" s="415"/>
      <c r="D44" s="416"/>
      <c r="E44" s="417">
        <v>2500</v>
      </c>
      <c r="F44" s="417"/>
      <c r="G44" s="418">
        <v>16</v>
      </c>
      <c r="H44" s="418"/>
      <c r="I44" s="419">
        <f>E44*G44</f>
        <v>40000</v>
      </c>
      <c r="J44" s="419"/>
    </row>
    <row r="45" spans="1:12" x14ac:dyDescent="0.25">
      <c r="A45" s="213">
        <v>2</v>
      </c>
      <c r="B45" s="414" t="s">
        <v>608</v>
      </c>
      <c r="C45" s="415"/>
      <c r="D45" s="416"/>
      <c r="E45" s="417">
        <v>2500</v>
      </c>
      <c r="F45" s="417"/>
      <c r="G45" s="418">
        <v>5</v>
      </c>
      <c r="H45" s="418"/>
      <c r="I45" s="419">
        <f>E45*G45-2500</f>
        <v>10000</v>
      </c>
      <c r="J45" s="419"/>
    </row>
    <row r="46" spans="1:12" x14ac:dyDescent="0.25">
      <c r="A46" s="420" t="s">
        <v>603</v>
      </c>
      <c r="B46" s="420"/>
      <c r="C46" s="142">
        <f>C39</f>
        <v>37.42</v>
      </c>
      <c r="D46" s="143">
        <f>D39</f>
        <v>147748.79999999999</v>
      </c>
      <c r="E46" s="144" t="s">
        <v>14</v>
      </c>
      <c r="F46" s="144" t="s">
        <v>14</v>
      </c>
      <c r="G46" s="144" t="s">
        <v>14</v>
      </c>
      <c r="H46" s="144" t="s">
        <v>14</v>
      </c>
      <c r="I46" s="144" t="s">
        <v>14</v>
      </c>
      <c r="J46" s="145">
        <f>J39+I44</f>
        <v>20240163.244240001</v>
      </c>
    </row>
    <row r="47" spans="1:12" x14ac:dyDescent="0.25">
      <c r="A47" s="420" t="s">
        <v>603</v>
      </c>
      <c r="B47" s="420"/>
      <c r="C47" s="142">
        <f>C40</f>
        <v>0.7</v>
      </c>
      <c r="D47" s="143">
        <f>D40</f>
        <v>13145.220000000001</v>
      </c>
      <c r="E47" s="144" t="s">
        <v>14</v>
      </c>
      <c r="F47" s="144" t="s">
        <v>14</v>
      </c>
      <c r="G47" s="144" t="s">
        <v>14</v>
      </c>
      <c r="H47" s="144" t="s">
        <v>14</v>
      </c>
      <c r="I47" s="144" t="s">
        <v>14</v>
      </c>
      <c r="J47" s="145">
        <f>J40+I45</f>
        <v>270000.00216000009</v>
      </c>
    </row>
    <row r="48" spans="1:12" s="41" customFormat="1" ht="15.75" x14ac:dyDescent="0.25">
      <c r="A48" s="484" t="s">
        <v>354</v>
      </c>
      <c r="B48" s="484"/>
      <c r="C48" s="484"/>
      <c r="D48" s="484"/>
      <c r="E48" s="484"/>
      <c r="F48" s="484"/>
      <c r="G48" s="484"/>
      <c r="H48" s="484"/>
      <c r="I48" s="484"/>
      <c r="J48" s="484"/>
    </row>
    <row r="49" spans="1:10" ht="38.25" x14ac:dyDescent="0.25">
      <c r="A49" s="293" t="s">
        <v>1</v>
      </c>
      <c r="B49" s="428" t="s">
        <v>15</v>
      </c>
      <c r="C49" s="428"/>
      <c r="D49" s="428"/>
      <c r="E49" s="428" t="s">
        <v>16</v>
      </c>
      <c r="F49" s="428"/>
      <c r="G49" s="293" t="s">
        <v>17</v>
      </c>
      <c r="H49" s="293" t="s">
        <v>18</v>
      </c>
      <c r="I49" s="428" t="s">
        <v>104</v>
      </c>
      <c r="J49" s="428"/>
    </row>
    <row r="50" spans="1:10" x14ac:dyDescent="0.25">
      <c r="A50" s="293">
        <v>1</v>
      </c>
      <c r="B50" s="428">
        <v>2</v>
      </c>
      <c r="C50" s="428"/>
      <c r="D50" s="428"/>
      <c r="E50" s="428">
        <v>3</v>
      </c>
      <c r="F50" s="428"/>
      <c r="G50" s="293">
        <v>4</v>
      </c>
      <c r="H50" s="293">
        <v>5</v>
      </c>
      <c r="I50" s="428">
        <v>6</v>
      </c>
      <c r="J50" s="428"/>
    </row>
    <row r="51" spans="1:10" x14ac:dyDescent="0.25">
      <c r="A51" s="411" t="s">
        <v>355</v>
      </c>
      <c r="B51" s="412"/>
      <c r="C51" s="412"/>
      <c r="D51" s="412"/>
      <c r="E51" s="412"/>
      <c r="F51" s="412"/>
      <c r="G51" s="412"/>
      <c r="H51" s="412"/>
      <c r="I51" s="412"/>
      <c r="J51" s="413"/>
    </row>
    <row r="52" spans="1:10" x14ac:dyDescent="0.25">
      <c r="A52" s="291" t="s">
        <v>70</v>
      </c>
      <c r="B52" s="599" t="s">
        <v>609</v>
      </c>
      <c r="C52" s="600"/>
      <c r="D52" s="601"/>
      <c r="E52" s="570">
        <v>300</v>
      </c>
      <c r="F52" s="571"/>
      <c r="G52" s="291">
        <v>50</v>
      </c>
      <c r="H52" s="291">
        <v>1</v>
      </c>
      <c r="I52" s="572">
        <f>E52*G52*H52</f>
        <v>15000</v>
      </c>
      <c r="J52" s="572"/>
    </row>
    <row r="53" spans="1:10" x14ac:dyDescent="0.25">
      <c r="A53" s="411" t="s">
        <v>357</v>
      </c>
      <c r="B53" s="412"/>
      <c r="C53" s="412"/>
      <c r="D53" s="412"/>
      <c r="E53" s="412"/>
      <c r="F53" s="412"/>
      <c r="G53" s="412"/>
      <c r="H53" s="412"/>
      <c r="I53" s="412"/>
      <c r="J53" s="413"/>
    </row>
    <row r="54" spans="1:10" x14ac:dyDescent="0.25">
      <c r="A54" s="291" t="s">
        <v>70</v>
      </c>
      <c r="B54" s="467"/>
      <c r="C54" s="468"/>
      <c r="D54" s="469"/>
      <c r="E54" s="470"/>
      <c r="F54" s="470"/>
      <c r="G54" s="152"/>
      <c r="H54" s="217"/>
      <c r="I54" s="471">
        <f>E54*G54</f>
        <v>0</v>
      </c>
      <c r="J54" s="471"/>
    </row>
    <row r="55" spans="1:10" x14ac:dyDescent="0.25">
      <c r="A55" s="411" t="s">
        <v>358</v>
      </c>
      <c r="B55" s="412"/>
      <c r="C55" s="412"/>
      <c r="D55" s="412"/>
      <c r="E55" s="412"/>
      <c r="F55" s="412"/>
      <c r="G55" s="412"/>
      <c r="H55" s="412"/>
      <c r="I55" s="412"/>
      <c r="J55" s="413"/>
    </row>
    <row r="56" spans="1:10" x14ac:dyDescent="0.25">
      <c r="A56" s="218" t="s">
        <v>75</v>
      </c>
      <c r="B56" s="594" t="s">
        <v>610</v>
      </c>
      <c r="C56" s="595"/>
      <c r="D56" s="596"/>
      <c r="E56" s="597">
        <v>5000</v>
      </c>
      <c r="F56" s="597"/>
      <c r="G56" s="218">
        <v>3</v>
      </c>
      <c r="H56" s="218">
        <v>1</v>
      </c>
      <c r="I56" s="598">
        <f>E56*G56*H56</f>
        <v>15000</v>
      </c>
      <c r="J56" s="598"/>
    </row>
    <row r="57" spans="1:10" x14ac:dyDescent="0.25">
      <c r="A57" s="218" t="s">
        <v>75</v>
      </c>
      <c r="B57" s="594" t="s">
        <v>611</v>
      </c>
      <c r="C57" s="595"/>
      <c r="D57" s="596"/>
      <c r="E57" s="597">
        <v>10000</v>
      </c>
      <c r="F57" s="597"/>
      <c r="G57" s="218">
        <v>5</v>
      </c>
      <c r="H57" s="218">
        <v>1</v>
      </c>
      <c r="I57" s="598">
        <f>E57*G57*H57</f>
        <v>50000</v>
      </c>
      <c r="J57" s="598"/>
    </row>
    <row r="58" spans="1:10" x14ac:dyDescent="0.25">
      <c r="A58" s="291"/>
      <c r="B58" s="535" t="s">
        <v>612</v>
      </c>
      <c r="C58" s="535"/>
      <c r="D58" s="535"/>
      <c r="E58" s="418" t="s">
        <v>14</v>
      </c>
      <c r="F58" s="418"/>
      <c r="G58" s="291" t="s">
        <v>14</v>
      </c>
      <c r="H58" s="291" t="s">
        <v>14</v>
      </c>
      <c r="I58" s="477">
        <f>I52+I54+I56+I57</f>
        <v>80000</v>
      </c>
      <c r="J58" s="477"/>
    </row>
    <row r="59" spans="1:10" ht="15.75" x14ac:dyDescent="0.25">
      <c r="A59" s="489" t="s">
        <v>360</v>
      </c>
      <c r="B59" s="489"/>
      <c r="C59" s="489"/>
      <c r="D59" s="489"/>
      <c r="E59" s="489"/>
      <c r="F59" s="489"/>
      <c r="G59" s="489"/>
      <c r="H59" s="489"/>
      <c r="I59" s="489"/>
      <c r="J59" s="489"/>
    </row>
    <row r="60" spans="1:10" ht="51" x14ac:dyDescent="0.25">
      <c r="A60" s="293" t="s">
        <v>1</v>
      </c>
      <c r="B60" s="428" t="s">
        <v>15</v>
      </c>
      <c r="C60" s="428"/>
      <c r="D60" s="428"/>
      <c r="E60" s="479" t="s">
        <v>20</v>
      </c>
      <c r="F60" s="480"/>
      <c r="G60" s="293" t="s">
        <v>21</v>
      </c>
      <c r="H60" s="293" t="s">
        <v>22</v>
      </c>
      <c r="I60" s="428" t="s">
        <v>19</v>
      </c>
      <c r="J60" s="428"/>
    </row>
    <row r="61" spans="1:10" x14ac:dyDescent="0.25">
      <c r="A61" s="293">
        <v>1</v>
      </c>
      <c r="B61" s="428">
        <v>2</v>
      </c>
      <c r="C61" s="428"/>
      <c r="D61" s="428"/>
      <c r="E61" s="479">
        <v>3</v>
      </c>
      <c r="F61" s="480"/>
      <c r="G61" s="293">
        <v>4</v>
      </c>
      <c r="H61" s="293">
        <v>5</v>
      </c>
      <c r="I61" s="428">
        <v>6</v>
      </c>
      <c r="J61" s="428"/>
    </row>
    <row r="62" spans="1:10" x14ac:dyDescent="0.25">
      <c r="A62" s="295" t="s">
        <v>70</v>
      </c>
      <c r="B62" s="421"/>
      <c r="C62" s="422"/>
      <c r="D62" s="423"/>
      <c r="E62" s="424"/>
      <c r="F62" s="425"/>
      <c r="G62" s="220"/>
      <c r="H62" s="220"/>
      <c r="I62" s="426">
        <f>E62*G62*H62</f>
        <v>0</v>
      </c>
      <c r="J62" s="426"/>
    </row>
    <row r="63" spans="1:10" x14ac:dyDescent="0.25">
      <c r="A63" s="219"/>
      <c r="B63" s="481" t="s">
        <v>13</v>
      </c>
      <c r="C63" s="481"/>
      <c r="D63" s="481"/>
      <c r="E63" s="482" t="s">
        <v>14</v>
      </c>
      <c r="F63" s="483"/>
      <c r="G63" s="291" t="s">
        <v>14</v>
      </c>
      <c r="H63" s="291" t="s">
        <v>14</v>
      </c>
      <c r="I63" s="477">
        <f>SUM(I62)</f>
        <v>0</v>
      </c>
      <c r="J63" s="478"/>
    </row>
    <row r="64" spans="1:10" s="41" customFormat="1" ht="15.75" x14ac:dyDescent="0.25">
      <c r="A64" s="484" t="s">
        <v>298</v>
      </c>
      <c r="B64" s="484"/>
      <c r="C64" s="484"/>
      <c r="D64" s="484"/>
      <c r="E64" s="484"/>
      <c r="F64" s="484"/>
      <c r="G64" s="484"/>
      <c r="H64" s="484"/>
      <c r="I64" s="484"/>
      <c r="J64" s="484"/>
    </row>
    <row r="65" spans="1:11" ht="25.5" x14ac:dyDescent="0.25">
      <c r="A65" s="198" t="s">
        <v>1</v>
      </c>
      <c r="B65" s="485" t="s">
        <v>23</v>
      </c>
      <c r="C65" s="486"/>
      <c r="D65" s="486"/>
      <c r="E65" s="486"/>
      <c r="F65" s="487"/>
      <c r="G65" s="485" t="s">
        <v>24</v>
      </c>
      <c r="H65" s="487"/>
      <c r="I65" s="485" t="s">
        <v>25</v>
      </c>
      <c r="J65" s="487"/>
    </row>
    <row r="66" spans="1:11" x14ac:dyDescent="0.25">
      <c r="A66" s="288">
        <v>1</v>
      </c>
      <c r="B66" s="490">
        <v>2</v>
      </c>
      <c r="C66" s="491"/>
      <c r="D66" s="491"/>
      <c r="E66" s="491"/>
      <c r="F66" s="492"/>
      <c r="G66" s="490">
        <v>3</v>
      </c>
      <c r="H66" s="492"/>
      <c r="I66" s="490">
        <v>4</v>
      </c>
      <c r="J66" s="492"/>
    </row>
    <row r="67" spans="1:11" ht="18" customHeight="1" x14ac:dyDescent="0.25">
      <c r="A67" s="298" t="s">
        <v>70</v>
      </c>
      <c r="B67" s="472" t="s">
        <v>613</v>
      </c>
      <c r="C67" s="473"/>
      <c r="D67" s="473"/>
      <c r="E67" s="473"/>
      <c r="F67" s="474"/>
      <c r="G67" s="475" t="s">
        <v>14</v>
      </c>
      <c r="H67" s="476"/>
      <c r="I67" s="443">
        <f>I70</f>
        <v>4443586.6128000002</v>
      </c>
      <c r="J67" s="444"/>
    </row>
    <row r="68" spans="1:11" x14ac:dyDescent="0.25">
      <c r="A68" s="298" t="s">
        <v>70</v>
      </c>
      <c r="B68" s="472" t="s">
        <v>614</v>
      </c>
      <c r="C68" s="473"/>
      <c r="D68" s="473"/>
      <c r="E68" s="473"/>
      <c r="F68" s="474"/>
      <c r="G68" s="475" t="s">
        <v>14</v>
      </c>
      <c r="H68" s="476"/>
      <c r="I68" s="443">
        <f>I71</f>
        <v>58880</v>
      </c>
      <c r="J68" s="444"/>
    </row>
    <row r="69" spans="1:11" x14ac:dyDescent="0.25">
      <c r="A69" s="102"/>
      <c r="B69" s="496" t="s">
        <v>9</v>
      </c>
      <c r="C69" s="504"/>
      <c r="D69" s="504"/>
      <c r="E69" s="504"/>
      <c r="F69" s="497"/>
      <c r="G69" s="458"/>
      <c r="H69" s="459"/>
      <c r="I69" s="460"/>
      <c r="J69" s="461"/>
    </row>
    <row r="70" spans="1:11" s="41" customFormat="1" x14ac:dyDescent="0.25">
      <c r="A70" s="301" t="s">
        <v>27</v>
      </c>
      <c r="B70" s="566" t="s">
        <v>615</v>
      </c>
      <c r="C70" s="567"/>
      <c r="D70" s="567"/>
      <c r="E70" s="567"/>
      <c r="F70" s="568"/>
      <c r="G70" s="465">
        <v>20200163.239999998</v>
      </c>
      <c r="H70" s="466"/>
      <c r="I70" s="460">
        <f>G70*22%-10982+10532.7</f>
        <v>4443586.6128000002</v>
      </c>
      <c r="J70" s="461"/>
      <c r="K70" s="339"/>
    </row>
    <row r="71" spans="1:11" s="41" customFormat="1" x14ac:dyDescent="0.25">
      <c r="A71" s="301" t="s">
        <v>27</v>
      </c>
      <c r="B71" s="566" t="s">
        <v>616</v>
      </c>
      <c r="C71" s="567"/>
      <c r="D71" s="567"/>
      <c r="E71" s="567"/>
      <c r="F71" s="568"/>
      <c r="G71" s="465">
        <v>260000</v>
      </c>
      <c r="H71" s="466"/>
      <c r="I71" s="460">
        <f>G71*22%+500-98+1278</f>
        <v>58880</v>
      </c>
      <c r="J71" s="461"/>
      <c r="K71" s="339"/>
    </row>
    <row r="72" spans="1:11" x14ac:dyDescent="0.25">
      <c r="A72" s="301" t="s">
        <v>29</v>
      </c>
      <c r="B72" s="455" t="s">
        <v>30</v>
      </c>
      <c r="C72" s="456"/>
      <c r="D72" s="456"/>
      <c r="E72" s="456"/>
      <c r="F72" s="457"/>
      <c r="G72" s="458"/>
      <c r="H72" s="459"/>
      <c r="I72" s="460"/>
      <c r="J72" s="461"/>
    </row>
    <row r="73" spans="1:11" ht="30.75" customHeight="1" x14ac:dyDescent="0.25">
      <c r="A73" s="301" t="s">
        <v>31</v>
      </c>
      <c r="B73" s="462" t="s">
        <v>32</v>
      </c>
      <c r="C73" s="463"/>
      <c r="D73" s="463"/>
      <c r="E73" s="463"/>
      <c r="F73" s="464"/>
      <c r="G73" s="458"/>
      <c r="H73" s="459"/>
      <c r="I73" s="460"/>
      <c r="J73" s="461"/>
    </row>
    <row r="74" spans="1:11" ht="27.75" customHeight="1" x14ac:dyDescent="0.25">
      <c r="A74" s="298" t="s">
        <v>75</v>
      </c>
      <c r="B74" s="472" t="s">
        <v>617</v>
      </c>
      <c r="C74" s="473"/>
      <c r="D74" s="473"/>
      <c r="E74" s="473"/>
      <c r="F74" s="474"/>
      <c r="G74" s="475" t="s">
        <v>14</v>
      </c>
      <c r="H74" s="476"/>
      <c r="I74" s="443">
        <f>I77+I80</f>
        <v>626205.06043999991</v>
      </c>
      <c r="J74" s="444"/>
    </row>
    <row r="75" spans="1:11" ht="29.25" customHeight="1" x14ac:dyDescent="0.25">
      <c r="A75" s="298" t="s">
        <v>75</v>
      </c>
      <c r="B75" s="472" t="s">
        <v>618</v>
      </c>
      <c r="C75" s="473"/>
      <c r="D75" s="473"/>
      <c r="E75" s="473"/>
      <c r="F75" s="474"/>
      <c r="G75" s="475" t="s">
        <v>14</v>
      </c>
      <c r="H75" s="476"/>
      <c r="I75" s="443">
        <f>I78+I81</f>
        <v>8059.9999999999991</v>
      </c>
      <c r="J75" s="444"/>
    </row>
    <row r="76" spans="1:11" x14ac:dyDescent="0.25">
      <c r="A76" s="102"/>
      <c r="B76" s="496" t="s">
        <v>9</v>
      </c>
      <c r="C76" s="504"/>
      <c r="D76" s="504"/>
      <c r="E76" s="504"/>
      <c r="F76" s="497"/>
      <c r="G76" s="458"/>
      <c r="H76" s="459"/>
      <c r="I76" s="460"/>
      <c r="J76" s="461"/>
    </row>
    <row r="77" spans="1:11" ht="27.75" customHeight="1" x14ac:dyDescent="0.25">
      <c r="A77" s="301" t="s">
        <v>34</v>
      </c>
      <c r="B77" s="462" t="s">
        <v>619</v>
      </c>
      <c r="C77" s="463"/>
      <c r="D77" s="463"/>
      <c r="E77" s="463"/>
      <c r="F77" s="464"/>
      <c r="G77" s="465">
        <f>G70</f>
        <v>20200163.239999998</v>
      </c>
      <c r="H77" s="466"/>
      <c r="I77" s="460">
        <f>G77*2.9%</f>
        <v>585804.73395999987</v>
      </c>
      <c r="J77" s="461"/>
    </row>
    <row r="78" spans="1:11" ht="27.75" customHeight="1" x14ac:dyDescent="0.25">
      <c r="A78" s="301" t="s">
        <v>34</v>
      </c>
      <c r="B78" s="462" t="s">
        <v>620</v>
      </c>
      <c r="C78" s="463"/>
      <c r="D78" s="463"/>
      <c r="E78" s="463"/>
      <c r="F78" s="464"/>
      <c r="G78" s="465">
        <f>G71</f>
        <v>260000</v>
      </c>
      <c r="H78" s="466"/>
      <c r="I78" s="460">
        <f>G78*2.9%</f>
        <v>7539.9999999999991</v>
      </c>
      <c r="J78" s="461"/>
    </row>
    <row r="79" spans="1:11" ht="30.75" customHeight="1" x14ac:dyDescent="0.25">
      <c r="A79" s="301" t="s">
        <v>36</v>
      </c>
      <c r="B79" s="462" t="s">
        <v>37</v>
      </c>
      <c r="C79" s="463"/>
      <c r="D79" s="463"/>
      <c r="E79" s="463"/>
      <c r="F79" s="464"/>
      <c r="G79" s="458"/>
      <c r="H79" s="459"/>
      <c r="I79" s="460"/>
      <c r="J79" s="461"/>
    </row>
    <row r="80" spans="1:11" ht="28.5" customHeight="1" x14ac:dyDescent="0.25">
      <c r="A80" s="301" t="s">
        <v>38</v>
      </c>
      <c r="B80" s="462" t="s">
        <v>621</v>
      </c>
      <c r="C80" s="463"/>
      <c r="D80" s="463"/>
      <c r="E80" s="463"/>
      <c r="F80" s="464"/>
      <c r="G80" s="465">
        <f>G70</f>
        <v>20200163.239999998</v>
      </c>
      <c r="H80" s="466"/>
      <c r="I80" s="460">
        <f>G80*0.2%</f>
        <v>40400.326479999996</v>
      </c>
      <c r="J80" s="461"/>
    </row>
    <row r="81" spans="1:12" ht="30" customHeight="1" x14ac:dyDescent="0.25">
      <c r="A81" s="301" t="s">
        <v>38</v>
      </c>
      <c r="B81" s="462" t="s">
        <v>622</v>
      </c>
      <c r="C81" s="463"/>
      <c r="D81" s="463"/>
      <c r="E81" s="463"/>
      <c r="F81" s="464"/>
      <c r="G81" s="465">
        <f>G71</f>
        <v>260000</v>
      </c>
      <c r="H81" s="466"/>
      <c r="I81" s="460">
        <f>G81*0.2%</f>
        <v>520</v>
      </c>
      <c r="J81" s="461"/>
    </row>
    <row r="82" spans="1:12" s="41" customFormat="1" ht="28.5" customHeight="1" x14ac:dyDescent="0.25">
      <c r="A82" s="301" t="s">
        <v>40</v>
      </c>
      <c r="B82" s="462" t="s">
        <v>41</v>
      </c>
      <c r="C82" s="463"/>
      <c r="D82" s="463"/>
      <c r="E82" s="463"/>
      <c r="F82" s="464"/>
      <c r="G82" s="458"/>
      <c r="H82" s="459"/>
      <c r="I82" s="460"/>
      <c r="J82" s="461"/>
    </row>
    <row r="83" spans="1:12" ht="30" customHeight="1" x14ac:dyDescent="0.25">
      <c r="A83" s="301" t="s">
        <v>42</v>
      </c>
      <c r="B83" s="462" t="s">
        <v>41</v>
      </c>
      <c r="C83" s="463"/>
      <c r="D83" s="463"/>
      <c r="E83" s="463"/>
      <c r="F83" s="464"/>
      <c r="G83" s="458"/>
      <c r="H83" s="459"/>
      <c r="I83" s="460"/>
      <c r="J83" s="461"/>
    </row>
    <row r="84" spans="1:12" ht="27.75" customHeight="1" x14ac:dyDescent="0.25">
      <c r="A84" s="298" t="s">
        <v>77</v>
      </c>
      <c r="B84" s="472" t="s">
        <v>623</v>
      </c>
      <c r="C84" s="473"/>
      <c r="D84" s="473"/>
      <c r="E84" s="473"/>
      <c r="F84" s="474"/>
      <c r="G84" s="493">
        <f>G70</f>
        <v>20200163.239999998</v>
      </c>
      <c r="H84" s="494"/>
      <c r="I84" s="443">
        <f>G84*5.1%</f>
        <v>1030208.3252399998</v>
      </c>
      <c r="J84" s="444"/>
    </row>
    <row r="85" spans="1:12" ht="31.5" customHeight="1" x14ac:dyDescent="0.25">
      <c r="A85" s="298" t="s">
        <v>77</v>
      </c>
      <c r="B85" s="472" t="s">
        <v>624</v>
      </c>
      <c r="C85" s="473"/>
      <c r="D85" s="473"/>
      <c r="E85" s="473"/>
      <c r="F85" s="474"/>
      <c r="G85" s="493">
        <f>G71</f>
        <v>260000</v>
      </c>
      <c r="H85" s="494"/>
      <c r="I85" s="443">
        <f>G85*5.1%</f>
        <v>13260</v>
      </c>
      <c r="J85" s="444"/>
    </row>
    <row r="86" spans="1:12" x14ac:dyDescent="0.25">
      <c r="A86" s="301"/>
      <c r="B86" s="448" t="s">
        <v>625</v>
      </c>
      <c r="C86" s="449"/>
      <c r="D86" s="449"/>
      <c r="E86" s="449"/>
      <c r="F86" s="450"/>
      <c r="G86" s="451" t="s">
        <v>14</v>
      </c>
      <c r="H86" s="452"/>
      <c r="I86" s="453">
        <f>I67+I74+I84</f>
        <v>6099999.9984800005</v>
      </c>
      <c r="J86" s="454"/>
    </row>
    <row r="87" spans="1:12" x14ac:dyDescent="0.25">
      <c r="A87" s="301"/>
      <c r="B87" s="448" t="s">
        <v>626</v>
      </c>
      <c r="C87" s="449"/>
      <c r="D87" s="449"/>
      <c r="E87" s="449"/>
      <c r="F87" s="450"/>
      <c r="G87" s="451" t="s">
        <v>14</v>
      </c>
      <c r="H87" s="452"/>
      <c r="I87" s="453">
        <f>I68+I75+I85</f>
        <v>80200</v>
      </c>
      <c r="J87" s="454"/>
    </row>
    <row r="88" spans="1:12" s="41" customFormat="1" x14ac:dyDescent="0.25">
      <c r="A88" s="113"/>
      <c r="B88" s="445" t="s">
        <v>512</v>
      </c>
      <c r="C88" s="445"/>
      <c r="D88" s="445"/>
      <c r="E88" s="445"/>
      <c r="F88" s="445"/>
      <c r="G88" s="446" t="s">
        <v>14</v>
      </c>
      <c r="H88" s="446"/>
      <c r="I88" s="447">
        <f>I86+I87</f>
        <v>6180199.9984800005</v>
      </c>
      <c r="J88" s="447"/>
      <c r="K88" s="495"/>
      <c r="L88" s="495"/>
    </row>
    <row r="89" spans="1:12" s="41" customFormat="1" ht="12.75" x14ac:dyDescent="0.2">
      <c r="A89" s="488" t="s">
        <v>502</v>
      </c>
      <c r="B89" s="488"/>
      <c r="C89" s="488"/>
      <c r="D89" s="488"/>
      <c r="E89" s="488"/>
      <c r="F89" s="488"/>
      <c r="G89" s="488"/>
      <c r="H89" s="488"/>
      <c r="I89" s="488"/>
      <c r="J89" s="488"/>
    </row>
    <row r="90" spans="1:12" ht="15.75" x14ac:dyDescent="0.25">
      <c r="A90" s="489" t="s">
        <v>378</v>
      </c>
      <c r="B90" s="489"/>
      <c r="C90" s="489"/>
      <c r="D90" s="489"/>
      <c r="E90" s="489"/>
      <c r="F90" s="489"/>
      <c r="G90" s="489"/>
      <c r="H90" s="489"/>
      <c r="I90" s="489"/>
      <c r="J90" s="489"/>
      <c r="K90" s="11"/>
      <c r="L90" s="11"/>
    </row>
    <row r="91" spans="1:12" ht="15.75" x14ac:dyDescent="0.25">
      <c r="A91" s="92" t="s">
        <v>80</v>
      </c>
      <c r="B91" s="93"/>
      <c r="C91" s="97">
        <v>321</v>
      </c>
      <c r="D91" s="97"/>
      <c r="E91" s="97"/>
      <c r="F91" s="98"/>
      <c r="G91" s="98"/>
      <c r="H91" s="98"/>
      <c r="I91" s="98"/>
      <c r="J91" s="98"/>
      <c r="K91" s="11"/>
      <c r="L91" s="11"/>
    </row>
    <row r="92" spans="1:12" ht="15.75" x14ac:dyDescent="0.25">
      <c r="A92" s="92" t="s">
        <v>81</v>
      </c>
      <c r="B92" s="93"/>
      <c r="C92" s="93"/>
      <c r="D92" s="93"/>
      <c r="E92" s="99"/>
      <c r="F92" s="100"/>
      <c r="G92" s="100"/>
      <c r="H92" s="100"/>
      <c r="I92" s="100"/>
      <c r="J92" s="100"/>
      <c r="K92" s="11"/>
      <c r="L92" s="11"/>
    </row>
    <row r="93" spans="1:12" ht="25.5" x14ac:dyDescent="0.25">
      <c r="A93" s="288" t="s">
        <v>1</v>
      </c>
      <c r="B93" s="490" t="s">
        <v>44</v>
      </c>
      <c r="C93" s="491"/>
      <c r="D93" s="492"/>
      <c r="E93" s="490" t="s">
        <v>45</v>
      </c>
      <c r="F93" s="492"/>
      <c r="G93" s="490" t="s">
        <v>46</v>
      </c>
      <c r="H93" s="492"/>
      <c r="I93" s="490" t="s">
        <v>102</v>
      </c>
      <c r="J93" s="492"/>
      <c r="K93" s="11"/>
      <c r="L93" s="11"/>
    </row>
    <row r="94" spans="1:12" x14ac:dyDescent="0.25">
      <c r="A94" s="288">
        <v>1</v>
      </c>
      <c r="B94" s="490">
        <v>2</v>
      </c>
      <c r="C94" s="491"/>
      <c r="D94" s="492"/>
      <c r="E94" s="490">
        <v>3</v>
      </c>
      <c r="F94" s="492"/>
      <c r="G94" s="490">
        <v>4</v>
      </c>
      <c r="H94" s="492"/>
      <c r="I94" s="490">
        <v>5</v>
      </c>
      <c r="J94" s="492"/>
      <c r="K94" s="11"/>
      <c r="L94" s="11"/>
    </row>
    <row r="95" spans="1:12" x14ac:dyDescent="0.25">
      <c r="A95" s="290"/>
      <c r="B95" s="455"/>
      <c r="C95" s="456"/>
      <c r="D95" s="457"/>
      <c r="E95" s="496"/>
      <c r="F95" s="497"/>
      <c r="G95" s="496"/>
      <c r="H95" s="497"/>
      <c r="I95" s="496"/>
      <c r="J95" s="497"/>
    </row>
    <row r="96" spans="1:12" x14ac:dyDescent="0.25">
      <c r="A96" s="301"/>
      <c r="B96" s="455"/>
      <c r="C96" s="456"/>
      <c r="D96" s="457"/>
      <c r="E96" s="496"/>
      <c r="F96" s="497"/>
      <c r="G96" s="496"/>
      <c r="H96" s="497"/>
      <c r="I96" s="496"/>
      <c r="J96" s="497"/>
    </row>
    <row r="97" spans="1:12" x14ac:dyDescent="0.25">
      <c r="A97" s="301"/>
      <c r="B97" s="421"/>
      <c r="C97" s="422"/>
      <c r="D97" s="423"/>
      <c r="E97" s="496"/>
      <c r="F97" s="503"/>
      <c r="G97" s="496"/>
      <c r="H97" s="503"/>
      <c r="I97" s="496"/>
      <c r="J97" s="503"/>
    </row>
    <row r="98" spans="1:12" x14ac:dyDescent="0.25">
      <c r="A98" s="299"/>
      <c r="B98" s="448" t="s">
        <v>13</v>
      </c>
      <c r="C98" s="449"/>
      <c r="D98" s="450"/>
      <c r="E98" s="451" t="s">
        <v>14</v>
      </c>
      <c r="F98" s="452"/>
      <c r="G98" s="451" t="s">
        <v>14</v>
      </c>
      <c r="H98" s="452"/>
      <c r="I98" s="451">
        <f>SUM(I97)</f>
        <v>0</v>
      </c>
      <c r="J98" s="452"/>
    </row>
    <row r="99" spans="1:12" s="41" customFormat="1" ht="15.75" x14ac:dyDescent="0.25">
      <c r="A99" s="489" t="s">
        <v>364</v>
      </c>
      <c r="B99" s="489"/>
      <c r="C99" s="489"/>
      <c r="D99" s="489"/>
      <c r="E99" s="489"/>
      <c r="F99" s="489"/>
      <c r="G99" s="489"/>
      <c r="H99" s="489"/>
      <c r="I99" s="489"/>
      <c r="J99" s="489"/>
    </row>
    <row r="100" spans="1:12" s="41" customFormat="1" ht="15.75" x14ac:dyDescent="0.25">
      <c r="A100" s="92" t="s">
        <v>80</v>
      </c>
      <c r="B100" s="93"/>
      <c r="C100" s="97">
        <v>851</v>
      </c>
      <c r="D100" s="97">
        <v>852</v>
      </c>
      <c r="E100" s="97">
        <v>853</v>
      </c>
      <c r="F100" s="98"/>
      <c r="G100" s="98"/>
      <c r="H100" s="98"/>
      <c r="I100" s="98"/>
      <c r="J100" s="98"/>
      <c r="K100" s="42"/>
      <c r="L100" s="43"/>
    </row>
    <row r="101" spans="1:12" s="41" customFormat="1" ht="15.75" x14ac:dyDescent="0.25">
      <c r="A101" s="92" t="s">
        <v>81</v>
      </c>
      <c r="B101" s="93"/>
      <c r="C101" s="93"/>
      <c r="D101" s="93"/>
      <c r="E101" s="99"/>
      <c r="F101" s="100"/>
      <c r="G101" s="100"/>
      <c r="H101" s="100"/>
      <c r="I101" s="100"/>
      <c r="J101" s="100"/>
    </row>
    <row r="102" spans="1:12" ht="25.5" x14ac:dyDescent="0.25">
      <c r="A102" s="288" t="s">
        <v>1</v>
      </c>
      <c r="B102" s="402" t="s">
        <v>15</v>
      </c>
      <c r="C102" s="402"/>
      <c r="D102" s="402"/>
      <c r="E102" s="402" t="s">
        <v>47</v>
      </c>
      <c r="F102" s="402"/>
      <c r="G102" s="402" t="s">
        <v>48</v>
      </c>
      <c r="H102" s="402"/>
      <c r="I102" s="402" t="s">
        <v>103</v>
      </c>
      <c r="J102" s="402"/>
    </row>
    <row r="103" spans="1:12" x14ac:dyDescent="0.25">
      <c r="A103" s="288">
        <v>1</v>
      </c>
      <c r="B103" s="402">
        <v>2</v>
      </c>
      <c r="C103" s="402"/>
      <c r="D103" s="402"/>
      <c r="E103" s="402">
        <v>3</v>
      </c>
      <c r="F103" s="402"/>
      <c r="G103" s="402">
        <v>4</v>
      </c>
      <c r="H103" s="402"/>
      <c r="I103" s="402">
        <v>5</v>
      </c>
      <c r="J103" s="402"/>
    </row>
    <row r="104" spans="1:12" x14ac:dyDescent="0.25">
      <c r="A104" s="581"/>
      <c r="B104" s="583"/>
      <c r="C104" s="584"/>
      <c r="D104" s="304"/>
      <c r="E104" s="585"/>
      <c r="F104" s="585"/>
      <c r="G104" s="505"/>
      <c r="H104" s="505"/>
      <c r="I104" s="506">
        <f>E104*G104/4</f>
        <v>0</v>
      </c>
      <c r="J104" s="506"/>
    </row>
    <row r="105" spans="1:12" x14ac:dyDescent="0.25">
      <c r="A105" s="582"/>
      <c r="B105" s="584"/>
      <c r="C105" s="584"/>
      <c r="D105" s="305"/>
      <c r="E105" s="585"/>
      <c r="F105" s="585"/>
      <c r="G105" s="505"/>
      <c r="H105" s="505"/>
      <c r="I105" s="506">
        <f>E105*G105/4*3</f>
        <v>0</v>
      </c>
      <c r="J105" s="506"/>
    </row>
    <row r="106" spans="1:12" x14ac:dyDescent="0.25">
      <c r="A106" s="299"/>
      <c r="B106" s="507" t="s">
        <v>13</v>
      </c>
      <c r="C106" s="507"/>
      <c r="D106" s="507"/>
      <c r="E106" s="508" t="s">
        <v>74</v>
      </c>
      <c r="F106" s="508"/>
      <c r="G106" s="508" t="s">
        <v>14</v>
      </c>
      <c r="H106" s="508"/>
      <c r="I106" s="509"/>
      <c r="J106" s="508"/>
    </row>
    <row r="107" spans="1:12" ht="15.75" x14ac:dyDescent="0.25">
      <c r="A107" s="489" t="s">
        <v>85</v>
      </c>
      <c r="B107" s="489"/>
      <c r="C107" s="489"/>
      <c r="D107" s="489"/>
      <c r="E107" s="489"/>
      <c r="F107" s="489"/>
      <c r="G107" s="489"/>
      <c r="H107" s="489"/>
      <c r="I107" s="489"/>
      <c r="J107" s="489"/>
      <c r="K107" s="495"/>
      <c r="L107" s="495"/>
    </row>
    <row r="108" spans="1:12" s="41" customFormat="1" ht="15.75" x14ac:dyDescent="0.25">
      <c r="A108" s="92" t="s">
        <v>80</v>
      </c>
      <c r="B108" s="93"/>
      <c r="C108" s="97"/>
      <c r="D108" s="97"/>
      <c r="E108" s="97"/>
      <c r="F108" s="98"/>
      <c r="G108" s="98"/>
      <c r="H108" s="98"/>
      <c r="I108" s="98"/>
      <c r="J108" s="98"/>
      <c r="K108" s="42"/>
      <c r="L108" s="43"/>
    </row>
    <row r="109" spans="1:12" s="41" customFormat="1" ht="15.75" x14ac:dyDescent="0.25">
      <c r="A109" s="92" t="s">
        <v>81</v>
      </c>
      <c r="B109" s="93"/>
      <c r="C109" s="93"/>
      <c r="D109" s="93"/>
      <c r="E109" s="99"/>
      <c r="F109" s="100"/>
      <c r="G109" s="100"/>
      <c r="H109" s="100"/>
      <c r="I109" s="100"/>
      <c r="J109" s="100"/>
    </row>
    <row r="110" spans="1:12" ht="25.5" x14ac:dyDescent="0.25">
      <c r="A110" s="288" t="s">
        <v>1</v>
      </c>
      <c r="B110" s="402" t="s">
        <v>44</v>
      </c>
      <c r="C110" s="402"/>
      <c r="D110" s="402"/>
      <c r="E110" s="402" t="s">
        <v>45</v>
      </c>
      <c r="F110" s="402"/>
      <c r="G110" s="402" t="s">
        <v>46</v>
      </c>
      <c r="H110" s="402"/>
      <c r="I110" s="402" t="s">
        <v>102</v>
      </c>
      <c r="J110" s="402"/>
      <c r="K110" s="11"/>
      <c r="L110" s="11"/>
    </row>
    <row r="111" spans="1:12" x14ac:dyDescent="0.25">
      <c r="A111" s="288">
        <v>1</v>
      </c>
      <c r="B111" s="402">
        <v>2</v>
      </c>
      <c r="C111" s="402"/>
      <c r="D111" s="402"/>
      <c r="E111" s="402">
        <v>3</v>
      </c>
      <c r="F111" s="402"/>
      <c r="G111" s="402">
        <v>4</v>
      </c>
      <c r="H111" s="402"/>
      <c r="I111" s="402">
        <v>5</v>
      </c>
      <c r="J111" s="402"/>
      <c r="K111" s="311"/>
      <c r="L111" s="312"/>
    </row>
    <row r="112" spans="1:12" x14ac:dyDescent="0.25">
      <c r="A112" s="301"/>
      <c r="B112" s="496"/>
      <c r="C112" s="504"/>
      <c r="D112" s="497"/>
      <c r="E112" s="496"/>
      <c r="F112" s="497"/>
      <c r="G112" s="496"/>
      <c r="H112" s="497"/>
      <c r="I112" s="496"/>
      <c r="J112" s="497"/>
      <c r="K112" s="11"/>
      <c r="L112" s="11"/>
    </row>
    <row r="113" spans="1:13" x14ac:dyDescent="0.25">
      <c r="A113" s="299"/>
      <c r="B113" s="507" t="s">
        <v>13</v>
      </c>
      <c r="C113" s="507"/>
      <c r="D113" s="507"/>
      <c r="E113" s="508" t="s">
        <v>14</v>
      </c>
      <c r="F113" s="508"/>
      <c r="G113" s="508" t="s">
        <v>14</v>
      </c>
      <c r="H113" s="508"/>
      <c r="I113" s="508"/>
      <c r="J113" s="508"/>
      <c r="K113" s="11"/>
      <c r="L113" s="11"/>
    </row>
    <row r="114" spans="1:13" ht="15.75" x14ac:dyDescent="0.25">
      <c r="A114" s="433" t="s">
        <v>91</v>
      </c>
      <c r="B114" s="433"/>
      <c r="C114" s="433"/>
      <c r="D114" s="433"/>
      <c r="E114" s="433"/>
      <c r="F114" s="433"/>
      <c r="G114" s="433"/>
      <c r="H114" s="433"/>
      <c r="I114" s="433"/>
      <c r="J114" s="433"/>
      <c r="K114" s="11"/>
      <c r="L114" s="11"/>
    </row>
    <row r="115" spans="1:13" ht="15.75" x14ac:dyDescent="0.25">
      <c r="A115" s="92" t="s">
        <v>80</v>
      </c>
      <c r="B115" s="93"/>
      <c r="C115" s="97"/>
      <c r="D115" s="97"/>
      <c r="E115" s="97"/>
      <c r="F115" s="98"/>
      <c r="G115" s="98"/>
      <c r="H115" s="98"/>
      <c r="I115" s="98"/>
      <c r="J115" s="98"/>
      <c r="K115" s="11"/>
      <c r="L115" s="11"/>
    </row>
    <row r="116" spans="1:13" ht="15.75" x14ac:dyDescent="0.25">
      <c r="A116" s="92" t="s">
        <v>81</v>
      </c>
      <c r="B116" s="93"/>
      <c r="C116" s="93"/>
      <c r="D116" s="93"/>
      <c r="E116" s="99"/>
      <c r="F116" s="100"/>
      <c r="G116" s="99"/>
      <c r="H116" s="100"/>
      <c r="I116" s="100"/>
      <c r="J116" s="100"/>
      <c r="K116" s="11"/>
      <c r="L116" s="11"/>
    </row>
    <row r="117" spans="1:13" ht="25.5" x14ac:dyDescent="0.25">
      <c r="A117" s="288" t="s">
        <v>1</v>
      </c>
      <c r="B117" s="402" t="s">
        <v>44</v>
      </c>
      <c r="C117" s="402"/>
      <c r="D117" s="402"/>
      <c r="E117" s="402" t="s">
        <v>45</v>
      </c>
      <c r="F117" s="402"/>
      <c r="G117" s="402" t="s">
        <v>46</v>
      </c>
      <c r="H117" s="402"/>
      <c r="I117" s="402" t="s">
        <v>102</v>
      </c>
      <c r="J117" s="402"/>
      <c r="K117" s="186"/>
      <c r="L117" s="11"/>
    </row>
    <row r="118" spans="1:13" x14ac:dyDescent="0.25">
      <c r="A118" s="288">
        <v>1</v>
      </c>
      <c r="B118" s="402">
        <v>2</v>
      </c>
      <c r="C118" s="402"/>
      <c r="D118" s="402"/>
      <c r="E118" s="402">
        <v>3</v>
      </c>
      <c r="F118" s="402"/>
      <c r="G118" s="402">
        <v>4</v>
      </c>
      <c r="H118" s="402"/>
      <c r="I118" s="402">
        <v>5</v>
      </c>
      <c r="J118" s="402"/>
      <c r="K118" s="11"/>
      <c r="L118" s="11"/>
    </row>
    <row r="119" spans="1:13" x14ac:dyDescent="0.25">
      <c r="A119" s="301"/>
      <c r="B119" s="496"/>
      <c r="C119" s="504"/>
      <c r="D119" s="497"/>
      <c r="E119" s="496"/>
      <c r="F119" s="497"/>
      <c r="G119" s="496"/>
      <c r="H119" s="497"/>
      <c r="I119" s="496"/>
      <c r="J119" s="497"/>
      <c r="K119" s="11"/>
      <c r="L119" s="187"/>
    </row>
    <row r="120" spans="1:13" x14ac:dyDescent="0.25">
      <c r="A120" s="301"/>
      <c r="B120" s="507" t="s">
        <v>13</v>
      </c>
      <c r="C120" s="507"/>
      <c r="D120" s="507"/>
      <c r="E120" s="508" t="s">
        <v>14</v>
      </c>
      <c r="F120" s="508"/>
      <c r="G120" s="508" t="s">
        <v>14</v>
      </c>
      <c r="H120" s="508"/>
      <c r="I120" s="508"/>
      <c r="J120" s="508"/>
      <c r="K120" s="11"/>
      <c r="L120" s="11"/>
      <c r="M120" s="14"/>
    </row>
    <row r="121" spans="1:13" ht="15.75" x14ac:dyDescent="0.25">
      <c r="A121" s="433" t="s">
        <v>49</v>
      </c>
      <c r="B121" s="433"/>
      <c r="C121" s="433"/>
      <c r="D121" s="433"/>
      <c r="E121" s="433"/>
      <c r="F121" s="433"/>
      <c r="G121" s="433"/>
      <c r="H121" s="433"/>
      <c r="I121" s="433"/>
      <c r="J121" s="433"/>
      <c r="K121" s="11"/>
      <c r="L121" s="11"/>
      <c r="M121" s="14"/>
    </row>
    <row r="122" spans="1:13" ht="15.75" x14ac:dyDescent="0.25">
      <c r="A122" s="92" t="s">
        <v>80</v>
      </c>
      <c r="B122" s="93"/>
      <c r="C122" s="97">
        <v>244</v>
      </c>
      <c r="D122" s="97"/>
      <c r="E122" s="97"/>
      <c r="F122" s="98"/>
      <c r="G122" s="98"/>
      <c r="H122" s="98"/>
      <c r="I122" s="98"/>
      <c r="J122" s="98"/>
      <c r="K122" s="11"/>
      <c r="L122" s="11"/>
      <c r="M122" s="14"/>
    </row>
    <row r="123" spans="1:13" ht="15.75" x14ac:dyDescent="0.25">
      <c r="A123" s="92" t="s">
        <v>81</v>
      </c>
      <c r="B123" s="93"/>
      <c r="C123" s="93"/>
      <c r="D123" s="93"/>
      <c r="E123" s="99"/>
      <c r="F123" s="100"/>
      <c r="G123" s="99"/>
      <c r="H123" s="100"/>
      <c r="I123" s="100"/>
      <c r="J123" s="100"/>
      <c r="K123" s="11"/>
      <c r="L123" s="11"/>
      <c r="M123" s="14"/>
    </row>
    <row r="124" spans="1:13" ht="15.75" x14ac:dyDescent="0.25">
      <c r="A124" s="433" t="s">
        <v>304</v>
      </c>
      <c r="B124" s="433"/>
      <c r="C124" s="433"/>
      <c r="D124" s="433"/>
      <c r="E124" s="433"/>
      <c r="F124" s="433"/>
      <c r="G124" s="433"/>
      <c r="H124" s="433"/>
      <c r="I124" s="433"/>
      <c r="J124" s="433"/>
      <c r="K124" s="11"/>
      <c r="L124" s="11"/>
      <c r="M124" s="14"/>
    </row>
    <row r="125" spans="1:13" ht="38.25" x14ac:dyDescent="0.25">
      <c r="A125" s="288" t="s">
        <v>1</v>
      </c>
      <c r="B125" s="402" t="s">
        <v>15</v>
      </c>
      <c r="C125" s="402"/>
      <c r="D125" s="402"/>
      <c r="E125" s="288" t="s">
        <v>50</v>
      </c>
      <c r="F125" s="288" t="s">
        <v>51</v>
      </c>
      <c r="G125" s="402" t="s">
        <v>52</v>
      </c>
      <c r="H125" s="402"/>
      <c r="I125" s="402" t="s">
        <v>104</v>
      </c>
      <c r="J125" s="402"/>
      <c r="K125" s="11"/>
      <c r="L125" s="11"/>
      <c r="M125" s="14"/>
    </row>
    <row r="126" spans="1:13" x14ac:dyDescent="0.25">
      <c r="A126" s="288">
        <v>1</v>
      </c>
      <c r="B126" s="402">
        <v>2</v>
      </c>
      <c r="C126" s="402"/>
      <c r="D126" s="402"/>
      <c r="E126" s="288">
        <v>3</v>
      </c>
      <c r="F126" s="288">
        <v>4</v>
      </c>
      <c r="G126" s="402">
        <v>5</v>
      </c>
      <c r="H126" s="402"/>
      <c r="I126" s="402">
        <v>6</v>
      </c>
      <c r="J126" s="402"/>
      <c r="K126" s="11"/>
      <c r="L126" s="11"/>
      <c r="M126" s="14"/>
    </row>
    <row r="127" spans="1:13" x14ac:dyDescent="0.25">
      <c r="A127" s="298">
        <v>1</v>
      </c>
      <c r="B127" s="498" t="s">
        <v>545</v>
      </c>
      <c r="C127" s="499"/>
      <c r="D127" s="500"/>
      <c r="E127" s="205" t="s">
        <v>74</v>
      </c>
      <c r="F127" s="205" t="s">
        <v>74</v>
      </c>
      <c r="G127" s="501" t="s">
        <v>74</v>
      </c>
      <c r="H127" s="501"/>
      <c r="I127" s="502">
        <f>I128+I129+I130</f>
        <v>72000</v>
      </c>
      <c r="J127" s="502"/>
      <c r="K127" s="11"/>
      <c r="L127" s="11"/>
      <c r="M127" s="14"/>
    </row>
    <row r="128" spans="1:13" x14ac:dyDescent="0.25">
      <c r="A128" s="301"/>
      <c r="B128" s="510" t="s">
        <v>547</v>
      </c>
      <c r="C128" s="510"/>
      <c r="D128" s="510"/>
      <c r="E128" s="301">
        <v>1</v>
      </c>
      <c r="F128" s="301">
        <v>10</v>
      </c>
      <c r="G128" s="513">
        <v>2000</v>
      </c>
      <c r="H128" s="513"/>
      <c r="I128" s="506">
        <f>F128*G128-2200</f>
        <v>17800</v>
      </c>
      <c r="J128" s="506"/>
      <c r="M128" s="14"/>
    </row>
    <row r="129" spans="1:14" ht="29.25" customHeight="1" x14ac:dyDescent="0.25">
      <c r="A129" s="301"/>
      <c r="B129" s="510" t="s">
        <v>96</v>
      </c>
      <c r="C129" s="510"/>
      <c r="D129" s="510"/>
      <c r="E129" s="301">
        <v>1</v>
      </c>
      <c r="F129" s="301">
        <v>1</v>
      </c>
      <c r="G129" s="511">
        <v>2400</v>
      </c>
      <c r="H129" s="511"/>
      <c r="I129" s="506">
        <f t="shared" ref="I129:I130" si="6">F129*G129</f>
        <v>2400</v>
      </c>
      <c r="J129" s="506"/>
      <c r="M129" s="14"/>
    </row>
    <row r="130" spans="1:14" x14ac:dyDescent="0.25">
      <c r="A130" s="301"/>
      <c r="B130" s="510" t="s">
        <v>548</v>
      </c>
      <c r="C130" s="510"/>
      <c r="D130" s="510"/>
      <c r="E130" s="301">
        <v>1</v>
      </c>
      <c r="F130" s="301">
        <v>7.4</v>
      </c>
      <c r="G130" s="511">
        <v>7000</v>
      </c>
      <c r="H130" s="511"/>
      <c r="I130" s="506">
        <f t="shared" si="6"/>
        <v>51800</v>
      </c>
      <c r="J130" s="506"/>
      <c r="M130" s="14"/>
    </row>
    <row r="131" spans="1:14" ht="16.5" customHeight="1" x14ac:dyDescent="0.25">
      <c r="A131" s="301"/>
      <c r="B131" s="507" t="s">
        <v>512</v>
      </c>
      <c r="C131" s="507"/>
      <c r="D131" s="507"/>
      <c r="E131" s="299" t="s">
        <v>14</v>
      </c>
      <c r="F131" s="299" t="s">
        <v>14</v>
      </c>
      <c r="G131" s="508" t="s">
        <v>14</v>
      </c>
      <c r="H131" s="508"/>
      <c r="I131" s="509">
        <f>I127</f>
        <v>72000</v>
      </c>
      <c r="J131" s="508"/>
      <c r="K131" s="146"/>
      <c r="N131" s="148"/>
    </row>
    <row r="132" spans="1:14" ht="15.75" x14ac:dyDescent="0.25">
      <c r="A132" s="101"/>
      <c r="B132" s="93"/>
      <c r="C132" s="93"/>
      <c r="D132" s="93"/>
      <c r="E132" s="93"/>
      <c r="F132" s="93"/>
      <c r="G132" s="93"/>
      <c r="H132" s="93"/>
      <c r="I132" s="93"/>
      <c r="J132" s="93"/>
      <c r="K132" s="14"/>
      <c r="M132" s="85"/>
    </row>
    <row r="133" spans="1:14" ht="15.75" x14ac:dyDescent="0.25">
      <c r="A133" s="433" t="s">
        <v>288</v>
      </c>
      <c r="B133" s="433"/>
      <c r="C133" s="433"/>
      <c r="D133" s="433"/>
      <c r="E133" s="433"/>
      <c r="F133" s="433"/>
      <c r="G133" s="433"/>
      <c r="H133" s="433"/>
      <c r="I133" s="433"/>
      <c r="J133" s="433"/>
      <c r="K133" s="14"/>
      <c r="M133" s="85"/>
    </row>
    <row r="134" spans="1:14" ht="15.75" customHeight="1" x14ac:dyDescent="0.25">
      <c r="A134" s="288" t="s">
        <v>1</v>
      </c>
      <c r="B134" s="402" t="s">
        <v>15</v>
      </c>
      <c r="C134" s="402"/>
      <c r="D134" s="402"/>
      <c r="E134" s="402" t="s">
        <v>53</v>
      </c>
      <c r="F134" s="402"/>
      <c r="G134" s="402" t="s">
        <v>54</v>
      </c>
      <c r="H134" s="402"/>
      <c r="I134" s="402" t="s">
        <v>264</v>
      </c>
      <c r="J134" s="402"/>
      <c r="K134" s="14"/>
      <c r="M134" s="85"/>
    </row>
    <row r="135" spans="1:14" ht="15" customHeight="1" x14ac:dyDescent="0.25">
      <c r="A135" s="288">
        <v>1</v>
      </c>
      <c r="B135" s="402">
        <v>2</v>
      </c>
      <c r="C135" s="402"/>
      <c r="D135" s="402"/>
      <c r="E135" s="402">
        <v>3</v>
      </c>
      <c r="F135" s="402"/>
      <c r="G135" s="402">
        <v>4</v>
      </c>
      <c r="H135" s="402"/>
      <c r="I135" s="402">
        <v>5</v>
      </c>
      <c r="J135" s="402"/>
      <c r="K135" s="14"/>
      <c r="M135" s="85"/>
    </row>
    <row r="136" spans="1:14" x14ac:dyDescent="0.25">
      <c r="A136" s="301"/>
      <c r="B136" s="414"/>
      <c r="C136" s="415"/>
      <c r="D136" s="416"/>
      <c r="E136" s="515"/>
      <c r="F136" s="515"/>
      <c r="G136" s="516"/>
      <c r="H136" s="516"/>
      <c r="I136" s="516">
        <f>E136*G136</f>
        <v>0</v>
      </c>
      <c r="J136" s="516"/>
      <c r="K136" s="14"/>
      <c r="M136" s="85"/>
    </row>
    <row r="137" spans="1:14" ht="30" customHeight="1" x14ac:dyDescent="0.25">
      <c r="A137" s="301"/>
      <c r="B137" s="507" t="s">
        <v>13</v>
      </c>
      <c r="C137" s="507"/>
      <c r="D137" s="507"/>
      <c r="E137" s="508" t="s">
        <v>74</v>
      </c>
      <c r="F137" s="508"/>
      <c r="G137" s="508" t="s">
        <v>74</v>
      </c>
      <c r="H137" s="508"/>
      <c r="I137" s="514">
        <f>I136</f>
        <v>0</v>
      </c>
      <c r="J137" s="508"/>
    </row>
    <row r="138" spans="1:14" ht="15.75" x14ac:dyDescent="0.25">
      <c r="A138" s="433" t="s">
        <v>284</v>
      </c>
      <c r="B138" s="433"/>
      <c r="C138" s="433"/>
      <c r="D138" s="433"/>
      <c r="E138" s="433"/>
      <c r="F138" s="433"/>
      <c r="G138" s="433"/>
      <c r="H138" s="433"/>
      <c r="I138" s="433"/>
      <c r="J138" s="433"/>
    </row>
    <row r="139" spans="1:14" s="41" customFormat="1" ht="38.25" x14ac:dyDescent="0.2">
      <c r="A139" s="288" t="s">
        <v>1</v>
      </c>
      <c r="B139" s="402" t="s">
        <v>44</v>
      </c>
      <c r="C139" s="402"/>
      <c r="D139" s="402"/>
      <c r="E139" s="288" t="s">
        <v>55</v>
      </c>
      <c r="F139" s="402" t="s">
        <v>56</v>
      </c>
      <c r="G139" s="402"/>
      <c r="H139" s="288" t="s">
        <v>57</v>
      </c>
      <c r="I139" s="402" t="s">
        <v>104</v>
      </c>
      <c r="J139" s="402"/>
    </row>
    <row r="140" spans="1:14" s="41" customFormat="1" ht="15.75" customHeight="1" x14ac:dyDescent="0.2">
      <c r="A140" s="288">
        <v>1</v>
      </c>
      <c r="B140" s="402">
        <v>2</v>
      </c>
      <c r="C140" s="402"/>
      <c r="D140" s="402"/>
      <c r="E140" s="288">
        <v>3</v>
      </c>
      <c r="F140" s="402">
        <v>4</v>
      </c>
      <c r="G140" s="402"/>
      <c r="H140" s="288">
        <v>5</v>
      </c>
      <c r="I140" s="402">
        <v>6</v>
      </c>
      <c r="J140" s="402"/>
    </row>
    <row r="141" spans="1:14" ht="21" customHeight="1" x14ac:dyDescent="0.25">
      <c r="A141" s="298" t="s">
        <v>70</v>
      </c>
      <c r="B141" s="498" t="s">
        <v>633</v>
      </c>
      <c r="C141" s="499"/>
      <c r="D141" s="500"/>
      <c r="E141" s="103">
        <f>E142+E143</f>
        <v>275</v>
      </c>
      <c r="F141" s="519"/>
      <c r="G141" s="520"/>
      <c r="H141" s="104">
        <f>F143/F142-100%</f>
        <v>3.5000412984224072E-2</v>
      </c>
      <c r="I141" s="521">
        <f>I142+I143+14-14</f>
        <v>543000</v>
      </c>
      <c r="J141" s="522"/>
      <c r="K141" s="14"/>
    </row>
    <row r="142" spans="1:14" x14ac:dyDescent="0.25">
      <c r="A142" s="301"/>
      <c r="B142" s="515" t="s">
        <v>100</v>
      </c>
      <c r="C142" s="515"/>
      <c r="D142" s="515"/>
      <c r="E142" s="300">
        <v>150</v>
      </c>
      <c r="F142" s="517">
        <v>1937.12</v>
      </c>
      <c r="G142" s="518"/>
      <c r="H142" s="301"/>
      <c r="I142" s="506">
        <f>E142*F142+618</f>
        <v>291186</v>
      </c>
      <c r="J142" s="506"/>
      <c r="K142" s="191"/>
    </row>
    <row r="143" spans="1:14" ht="15" customHeight="1" x14ac:dyDescent="0.25">
      <c r="A143" s="301"/>
      <c r="B143" s="515" t="s">
        <v>101</v>
      </c>
      <c r="C143" s="515"/>
      <c r="D143" s="515"/>
      <c r="E143" s="300">
        <v>125</v>
      </c>
      <c r="F143" s="517">
        <v>2004.92</v>
      </c>
      <c r="G143" s="518"/>
      <c r="H143" s="301"/>
      <c r="I143" s="506">
        <f>E143*F143+1199</f>
        <v>251814</v>
      </c>
      <c r="J143" s="506"/>
      <c r="K143" s="191"/>
    </row>
    <row r="144" spans="1:14" x14ac:dyDescent="0.25">
      <c r="A144" s="298" t="s">
        <v>75</v>
      </c>
      <c r="B144" s="498" t="s">
        <v>634</v>
      </c>
      <c r="C144" s="499"/>
      <c r="D144" s="500"/>
      <c r="E144" s="103">
        <f>E145+E146</f>
        <v>750</v>
      </c>
      <c r="F144" s="519"/>
      <c r="G144" s="520"/>
      <c r="H144" s="104">
        <f>F146/F145-100%</f>
        <v>3.5040944581984368E-2</v>
      </c>
      <c r="I144" s="521">
        <f>I145+I146</f>
        <v>39592</v>
      </c>
      <c r="J144" s="522"/>
      <c r="K144" s="14"/>
    </row>
    <row r="145" spans="1:11" x14ac:dyDescent="0.25">
      <c r="A145" s="301"/>
      <c r="B145" s="515" t="s">
        <v>100</v>
      </c>
      <c r="C145" s="515"/>
      <c r="D145" s="515"/>
      <c r="E145" s="300">
        <v>350</v>
      </c>
      <c r="F145" s="517">
        <v>52.51</v>
      </c>
      <c r="G145" s="518"/>
      <c r="H145" s="301"/>
      <c r="I145" s="506">
        <f>E145*F145-544.9</f>
        <v>17833.599999999999</v>
      </c>
      <c r="J145" s="506"/>
      <c r="K145" s="191">
        <f>17833.6-I145</f>
        <v>0</v>
      </c>
    </row>
    <row r="146" spans="1:11" x14ac:dyDescent="0.25">
      <c r="A146" s="301"/>
      <c r="B146" s="515" t="s">
        <v>101</v>
      </c>
      <c r="C146" s="515"/>
      <c r="D146" s="515"/>
      <c r="E146" s="300">
        <v>400</v>
      </c>
      <c r="F146" s="517">
        <v>54.35</v>
      </c>
      <c r="G146" s="518"/>
      <c r="H146" s="301"/>
      <c r="I146" s="506">
        <f>E146*F146+18.4</f>
        <v>21758.400000000001</v>
      </c>
      <c r="J146" s="506"/>
      <c r="K146" s="14"/>
    </row>
    <row r="147" spans="1:11" x14ac:dyDescent="0.25">
      <c r="A147" s="298" t="s">
        <v>77</v>
      </c>
      <c r="B147" s="498" t="s">
        <v>635</v>
      </c>
      <c r="C147" s="499"/>
      <c r="D147" s="500"/>
      <c r="E147" s="103">
        <f>E148+E149</f>
        <v>750</v>
      </c>
      <c r="F147" s="519"/>
      <c r="G147" s="520"/>
      <c r="H147" s="104">
        <f>F149/F148-100%</f>
        <v>3.461841070023608E-2</v>
      </c>
      <c r="I147" s="521">
        <f>I148+I149</f>
        <v>48408</v>
      </c>
      <c r="J147" s="522"/>
    </row>
    <row r="148" spans="1:11" ht="21" x14ac:dyDescent="0.35">
      <c r="A148" s="301"/>
      <c r="B148" s="515" t="s">
        <v>100</v>
      </c>
      <c r="C148" s="515"/>
      <c r="D148" s="515"/>
      <c r="E148" s="300">
        <v>350</v>
      </c>
      <c r="F148" s="517">
        <v>63.55</v>
      </c>
      <c r="G148" s="518"/>
      <c r="H148" s="301"/>
      <c r="I148" s="506">
        <f>E148*F148+0.7</f>
        <v>22243.200000000001</v>
      </c>
      <c r="J148" s="506"/>
      <c r="K148" s="188"/>
    </row>
    <row r="149" spans="1:11" x14ac:dyDescent="0.25">
      <c r="A149" s="301"/>
      <c r="B149" s="515" t="s">
        <v>101</v>
      </c>
      <c r="C149" s="515"/>
      <c r="D149" s="515"/>
      <c r="E149" s="300">
        <v>400</v>
      </c>
      <c r="F149" s="517">
        <v>65.75</v>
      </c>
      <c r="G149" s="518"/>
      <c r="H149" s="301"/>
      <c r="I149" s="506">
        <f>E149*F149-135.2</f>
        <v>26164.799999999999</v>
      </c>
      <c r="J149" s="506"/>
      <c r="K149" s="15"/>
    </row>
    <row r="150" spans="1:11" x14ac:dyDescent="0.25">
      <c r="A150" s="298" t="s">
        <v>86</v>
      </c>
      <c r="B150" s="498" t="s">
        <v>636</v>
      </c>
      <c r="C150" s="499"/>
      <c r="D150" s="500"/>
      <c r="E150" s="112">
        <f>E151+E152</f>
        <v>99000</v>
      </c>
      <c r="F150" s="519"/>
      <c r="G150" s="520"/>
      <c r="H150" s="104">
        <f>F152/F151-100%</f>
        <v>0</v>
      </c>
      <c r="I150" s="521">
        <f>I151+I152</f>
        <v>642000</v>
      </c>
      <c r="J150" s="522"/>
      <c r="K150" s="14"/>
    </row>
    <row r="151" spans="1:11" x14ac:dyDescent="0.25">
      <c r="A151" s="301"/>
      <c r="B151" s="515" t="s">
        <v>100</v>
      </c>
      <c r="C151" s="515"/>
      <c r="D151" s="515"/>
      <c r="E151" s="306">
        <v>54000</v>
      </c>
      <c r="F151" s="517">
        <v>6.5</v>
      </c>
      <c r="G151" s="518"/>
      <c r="H151" s="301"/>
      <c r="I151" s="506">
        <f>E151*F151-600</f>
        <v>350400</v>
      </c>
      <c r="J151" s="506"/>
      <c r="K151" s="14"/>
    </row>
    <row r="152" spans="1:11" x14ac:dyDescent="0.25">
      <c r="A152" s="301"/>
      <c r="B152" s="515" t="s">
        <v>101</v>
      </c>
      <c r="C152" s="515"/>
      <c r="D152" s="515"/>
      <c r="E152" s="306">
        <v>45000</v>
      </c>
      <c r="F152" s="517">
        <v>6.5</v>
      </c>
      <c r="G152" s="518"/>
      <c r="H152" s="301"/>
      <c r="I152" s="506">
        <f>E152*F152-900</f>
        <v>291600</v>
      </c>
      <c r="J152" s="506"/>
    </row>
    <row r="153" spans="1:11" x14ac:dyDescent="0.25">
      <c r="A153" s="298" t="s">
        <v>87</v>
      </c>
      <c r="B153" s="498" t="s">
        <v>549</v>
      </c>
      <c r="C153" s="499"/>
      <c r="D153" s="500"/>
      <c r="E153" s="112"/>
      <c r="F153" s="519"/>
      <c r="G153" s="520"/>
      <c r="H153" s="104">
        <v>0</v>
      </c>
      <c r="I153" s="521">
        <v>100000</v>
      </c>
      <c r="J153" s="522"/>
      <c r="K153" s="148"/>
    </row>
    <row r="154" spans="1:11" x14ac:dyDescent="0.25">
      <c r="A154" s="298" t="s">
        <v>87</v>
      </c>
      <c r="B154" s="498" t="s">
        <v>627</v>
      </c>
      <c r="C154" s="499"/>
      <c r="D154" s="500"/>
      <c r="E154" s="112"/>
      <c r="F154" s="302"/>
      <c r="G154" s="303"/>
      <c r="H154" s="104"/>
      <c r="I154" s="698">
        <v>20000</v>
      </c>
      <c r="J154" s="699"/>
      <c r="K154" s="148"/>
    </row>
    <row r="155" spans="1:11" x14ac:dyDescent="0.25">
      <c r="A155" s="298" t="s">
        <v>628</v>
      </c>
      <c r="B155" s="498" t="s">
        <v>629</v>
      </c>
      <c r="C155" s="499"/>
      <c r="D155" s="500"/>
      <c r="E155" s="112"/>
      <c r="F155" s="302"/>
      <c r="G155" s="303"/>
      <c r="H155" s="104"/>
      <c r="I155" s="698">
        <v>100000</v>
      </c>
      <c r="J155" s="699"/>
      <c r="K155" s="148"/>
    </row>
    <row r="156" spans="1:11" x14ac:dyDescent="0.25">
      <c r="A156" s="298" t="s">
        <v>116</v>
      </c>
      <c r="B156" s="498" t="s">
        <v>630</v>
      </c>
      <c r="C156" s="499"/>
      <c r="D156" s="500"/>
      <c r="E156" s="112"/>
      <c r="F156" s="302"/>
      <c r="G156" s="303"/>
      <c r="H156" s="104"/>
      <c r="I156" s="698">
        <v>84000</v>
      </c>
      <c r="J156" s="699"/>
      <c r="K156" s="148"/>
    </row>
    <row r="157" spans="1:11" x14ac:dyDescent="0.25">
      <c r="A157" s="298" t="s">
        <v>117</v>
      </c>
      <c r="B157" s="498" t="s">
        <v>631</v>
      </c>
      <c r="C157" s="499"/>
      <c r="D157" s="500"/>
      <c r="E157" s="103">
        <f>E158</f>
        <v>7</v>
      </c>
      <c r="F157" s="519"/>
      <c r="G157" s="520"/>
      <c r="H157" s="104"/>
      <c r="I157" s="521">
        <f>I158</f>
        <v>14000</v>
      </c>
      <c r="J157" s="522"/>
      <c r="K157" s="14"/>
    </row>
    <row r="158" spans="1:11" x14ac:dyDescent="0.25">
      <c r="A158" s="301"/>
      <c r="B158" s="515" t="s">
        <v>101</v>
      </c>
      <c r="C158" s="515"/>
      <c r="D158" s="515"/>
      <c r="E158" s="300">
        <v>7</v>
      </c>
      <c r="F158" s="517">
        <v>2004.92</v>
      </c>
      <c r="G158" s="518"/>
      <c r="H158" s="301"/>
      <c r="I158" s="506">
        <f>E158*F158-34.44</f>
        <v>14000</v>
      </c>
      <c r="J158" s="506"/>
      <c r="K158" s="191"/>
    </row>
    <row r="159" spans="1:11" x14ac:dyDescent="0.25">
      <c r="A159" s="298" t="s">
        <v>118</v>
      </c>
      <c r="B159" s="498" t="s">
        <v>632</v>
      </c>
      <c r="C159" s="499"/>
      <c r="D159" s="500"/>
      <c r="E159" s="103" t="str">
        <f>E160</f>
        <v>x</v>
      </c>
      <c r="F159" s="519"/>
      <c r="G159" s="520"/>
      <c r="H159" s="104"/>
      <c r="I159" s="521">
        <v>6000</v>
      </c>
      <c r="J159" s="522"/>
      <c r="K159" s="191"/>
    </row>
    <row r="160" spans="1:11" x14ac:dyDescent="0.25">
      <c r="A160" s="301"/>
      <c r="B160" s="507" t="s">
        <v>625</v>
      </c>
      <c r="C160" s="507"/>
      <c r="D160" s="507"/>
      <c r="E160" s="299" t="s">
        <v>14</v>
      </c>
      <c r="F160" s="508" t="s">
        <v>14</v>
      </c>
      <c r="G160" s="508"/>
      <c r="H160" s="299" t="s">
        <v>14</v>
      </c>
      <c r="I160" s="509">
        <f>I141+I144+I147+I150+I154+I155+I156</f>
        <v>1477000</v>
      </c>
      <c r="J160" s="508"/>
    </row>
    <row r="161" spans="1:12" x14ac:dyDescent="0.25">
      <c r="A161" s="301"/>
      <c r="B161" s="507" t="s">
        <v>626</v>
      </c>
      <c r="C161" s="507"/>
      <c r="D161" s="507"/>
      <c r="E161" s="299" t="s">
        <v>14</v>
      </c>
      <c r="F161" s="508" t="s">
        <v>14</v>
      </c>
      <c r="G161" s="508"/>
      <c r="H161" s="299" t="s">
        <v>14</v>
      </c>
      <c r="I161" s="509">
        <f>I157+I159</f>
        <v>20000</v>
      </c>
      <c r="J161" s="508"/>
    </row>
    <row r="162" spans="1:12" s="41" customFormat="1" ht="15.75" x14ac:dyDescent="0.25">
      <c r="A162" s="433" t="s">
        <v>289</v>
      </c>
      <c r="B162" s="433"/>
      <c r="C162" s="433"/>
      <c r="D162" s="433"/>
      <c r="E162" s="433"/>
      <c r="F162" s="433"/>
      <c r="G162" s="433"/>
      <c r="H162" s="433"/>
      <c r="I162" s="433"/>
      <c r="J162" s="433"/>
    </row>
    <row r="163" spans="1:12" s="41" customFormat="1" ht="25.5" x14ac:dyDescent="0.2">
      <c r="A163" s="288" t="s">
        <v>1</v>
      </c>
      <c r="B163" s="402" t="s">
        <v>44</v>
      </c>
      <c r="C163" s="402"/>
      <c r="D163" s="402"/>
      <c r="E163" s="402" t="s">
        <v>58</v>
      </c>
      <c r="F163" s="402"/>
      <c r="G163" s="402" t="s">
        <v>59</v>
      </c>
      <c r="H163" s="402"/>
      <c r="I163" s="402" t="s">
        <v>60</v>
      </c>
      <c r="J163" s="402"/>
    </row>
    <row r="164" spans="1:12" x14ac:dyDescent="0.25">
      <c r="A164" s="288">
        <v>1</v>
      </c>
      <c r="B164" s="402">
        <v>2</v>
      </c>
      <c r="C164" s="402"/>
      <c r="D164" s="402"/>
      <c r="E164" s="402">
        <v>3</v>
      </c>
      <c r="F164" s="402"/>
      <c r="G164" s="402">
        <v>4</v>
      </c>
      <c r="H164" s="402"/>
      <c r="I164" s="402">
        <v>5</v>
      </c>
      <c r="J164" s="402"/>
      <c r="K164" s="15"/>
    </row>
    <row r="165" spans="1:12" x14ac:dyDescent="0.25">
      <c r="A165" s="301"/>
      <c r="B165" s="496"/>
      <c r="C165" s="504"/>
      <c r="D165" s="497"/>
      <c r="E165" s="515"/>
      <c r="F165" s="515"/>
      <c r="G165" s="515"/>
      <c r="H165" s="515"/>
      <c r="I165" s="515"/>
      <c r="J165" s="515"/>
      <c r="K165" s="14"/>
    </row>
    <row r="166" spans="1:12" x14ac:dyDescent="0.25">
      <c r="A166" s="299"/>
      <c r="B166" s="507" t="s">
        <v>13</v>
      </c>
      <c r="C166" s="507"/>
      <c r="D166" s="507"/>
      <c r="E166" s="508" t="s">
        <v>14</v>
      </c>
      <c r="F166" s="508"/>
      <c r="G166" s="508" t="s">
        <v>14</v>
      </c>
      <c r="H166" s="508"/>
      <c r="I166" s="508"/>
      <c r="J166" s="508"/>
    </row>
    <row r="167" spans="1:12" ht="15.75" x14ac:dyDescent="0.25">
      <c r="A167" s="433" t="s">
        <v>285</v>
      </c>
      <c r="B167" s="433"/>
      <c r="C167" s="433"/>
      <c r="D167" s="433"/>
      <c r="E167" s="433"/>
      <c r="F167" s="433"/>
      <c r="G167" s="433"/>
      <c r="H167" s="433"/>
      <c r="I167" s="433"/>
      <c r="J167" s="433"/>
    </row>
    <row r="168" spans="1:12" x14ac:dyDescent="0.25">
      <c r="A168" s="523" t="s">
        <v>1</v>
      </c>
      <c r="B168" s="525" t="s">
        <v>15</v>
      </c>
      <c r="C168" s="526"/>
      <c r="D168" s="527"/>
      <c r="E168" s="523" t="s">
        <v>61</v>
      </c>
      <c r="F168" s="523" t="s">
        <v>62</v>
      </c>
      <c r="G168" s="402" t="s">
        <v>63</v>
      </c>
      <c r="H168" s="402"/>
      <c r="I168" s="402"/>
      <c r="J168" s="402"/>
    </row>
    <row r="169" spans="1:12" ht="25.5" x14ac:dyDescent="0.25">
      <c r="A169" s="524"/>
      <c r="B169" s="528"/>
      <c r="C169" s="529"/>
      <c r="D169" s="530"/>
      <c r="E169" s="524"/>
      <c r="F169" s="524"/>
      <c r="G169" s="288" t="s">
        <v>308</v>
      </c>
      <c r="H169" s="288" t="s">
        <v>305</v>
      </c>
      <c r="I169" s="296" t="s">
        <v>306</v>
      </c>
      <c r="J169" s="288" t="s">
        <v>307</v>
      </c>
    </row>
    <row r="170" spans="1:12" x14ac:dyDescent="0.25">
      <c r="A170" s="288">
        <v>1</v>
      </c>
      <c r="B170" s="402">
        <v>2</v>
      </c>
      <c r="C170" s="402"/>
      <c r="D170" s="402"/>
      <c r="E170" s="288">
        <v>3</v>
      </c>
      <c r="F170" s="288">
        <v>4</v>
      </c>
      <c r="G170" s="490">
        <v>5</v>
      </c>
      <c r="H170" s="491"/>
      <c r="I170" s="491"/>
      <c r="J170" s="492"/>
    </row>
    <row r="171" spans="1:12" s="316" customFormat="1" ht="30.75" customHeight="1" x14ac:dyDescent="0.25">
      <c r="A171" s="291">
        <v>1</v>
      </c>
      <c r="B171" s="534" t="s">
        <v>550</v>
      </c>
      <c r="C171" s="534"/>
      <c r="D171" s="534"/>
      <c r="E171" s="218">
        <v>2</v>
      </c>
      <c r="F171" s="218">
        <v>1</v>
      </c>
      <c r="G171" s="291" t="s">
        <v>124</v>
      </c>
      <c r="H171" s="291">
        <v>10</v>
      </c>
      <c r="I171" s="313">
        <v>28400</v>
      </c>
      <c r="J171" s="314">
        <f>ROUND(H171*I171,0)+2053.54+3250</f>
        <v>289303.53999999998</v>
      </c>
      <c r="K171" s="315"/>
    </row>
    <row r="172" spans="1:12" s="318" customFormat="1" ht="27.75" customHeight="1" x14ac:dyDescent="0.25">
      <c r="A172" s="291">
        <v>2</v>
      </c>
      <c r="B172" s="538" t="s">
        <v>551</v>
      </c>
      <c r="C172" s="538"/>
      <c r="D172" s="538"/>
      <c r="E172" s="218">
        <v>2</v>
      </c>
      <c r="F172" s="218">
        <v>1</v>
      </c>
      <c r="G172" s="291" t="s">
        <v>124</v>
      </c>
      <c r="H172" s="291">
        <v>10</v>
      </c>
      <c r="I172" s="313">
        <v>12000</v>
      </c>
      <c r="J172" s="314">
        <f>ROUND(H172*I172,0)</f>
        <v>120000</v>
      </c>
      <c r="K172" s="317"/>
    </row>
    <row r="173" spans="1:12" s="316" customFormat="1" ht="30.75" customHeight="1" x14ac:dyDescent="0.25">
      <c r="A173" s="359">
        <v>3</v>
      </c>
      <c r="B173" s="710" t="s">
        <v>114</v>
      </c>
      <c r="C173" s="710"/>
      <c r="D173" s="710"/>
      <c r="E173" s="359">
        <v>3</v>
      </c>
      <c r="F173" s="359">
        <v>1</v>
      </c>
      <c r="G173" s="359" t="s">
        <v>124</v>
      </c>
      <c r="H173" s="359">
        <v>9</v>
      </c>
      <c r="I173" s="360">
        <v>14974.45</v>
      </c>
      <c r="J173" s="361">
        <f>ROUND(H173*I173,0)+0.46</f>
        <v>134770.46</v>
      </c>
      <c r="K173" s="315"/>
    </row>
    <row r="174" spans="1:12" s="316" customFormat="1" ht="32.25" customHeight="1" x14ac:dyDescent="0.25">
      <c r="A174" s="291">
        <v>4</v>
      </c>
      <c r="B174" s="538" t="s">
        <v>109</v>
      </c>
      <c r="C174" s="538"/>
      <c r="D174" s="538"/>
      <c r="E174" s="218">
        <v>1</v>
      </c>
      <c r="F174" s="218">
        <v>1</v>
      </c>
      <c r="G174" s="291" t="s">
        <v>124</v>
      </c>
      <c r="H174" s="291">
        <v>7</v>
      </c>
      <c r="I174" s="313">
        <v>750</v>
      </c>
      <c r="J174" s="314">
        <f>ROUND(H174*I174,0)</f>
        <v>5250</v>
      </c>
      <c r="K174" s="315"/>
      <c r="L174" s="362"/>
    </row>
    <row r="175" spans="1:12" s="316" customFormat="1" ht="30.75" customHeight="1" x14ac:dyDescent="0.25">
      <c r="A175" s="291">
        <v>5</v>
      </c>
      <c r="B175" s="538" t="s">
        <v>552</v>
      </c>
      <c r="C175" s="538"/>
      <c r="D175" s="538"/>
      <c r="E175" s="218">
        <v>1</v>
      </c>
      <c r="F175" s="218">
        <v>1</v>
      </c>
      <c r="G175" s="291" t="s">
        <v>124</v>
      </c>
      <c r="H175" s="291">
        <v>10</v>
      </c>
      <c r="I175" s="313">
        <v>750</v>
      </c>
      <c r="J175" s="314">
        <f>ROUND(H175*I175,0)</f>
        <v>7500</v>
      </c>
      <c r="K175" s="315"/>
    </row>
    <row r="176" spans="1:12" s="316" customFormat="1" ht="30" customHeight="1" x14ac:dyDescent="0.25">
      <c r="A176" s="291">
        <v>6</v>
      </c>
      <c r="B176" s="534" t="s">
        <v>553</v>
      </c>
      <c r="C176" s="534"/>
      <c r="D176" s="534"/>
      <c r="E176" s="218">
        <v>2</v>
      </c>
      <c r="F176" s="218">
        <v>1</v>
      </c>
      <c r="G176" s="291" t="s">
        <v>554</v>
      </c>
      <c r="H176" s="291">
        <v>3</v>
      </c>
      <c r="I176" s="313">
        <v>10000</v>
      </c>
      <c r="J176" s="314">
        <f t="shared" ref="J176:J178" si="7">ROUND(H176*I176,0)</f>
        <v>30000</v>
      </c>
      <c r="K176" s="315"/>
    </row>
    <row r="177" spans="1:12" s="320" customFormat="1" ht="31.5" customHeight="1" x14ac:dyDescent="0.25">
      <c r="A177" s="291">
        <v>7</v>
      </c>
      <c r="B177" s="534" t="s">
        <v>555</v>
      </c>
      <c r="C177" s="534"/>
      <c r="D177" s="534"/>
      <c r="E177" s="218">
        <v>1</v>
      </c>
      <c r="F177" s="218">
        <v>1</v>
      </c>
      <c r="G177" s="291" t="s">
        <v>556</v>
      </c>
      <c r="H177" s="291">
        <v>4</v>
      </c>
      <c r="I177" s="313">
        <v>6000</v>
      </c>
      <c r="J177" s="314">
        <f t="shared" si="7"/>
        <v>24000</v>
      </c>
      <c r="K177" s="319"/>
    </row>
    <row r="178" spans="1:12" s="316" customFormat="1" ht="17.25" customHeight="1" x14ac:dyDescent="0.25">
      <c r="A178" s="291">
        <v>8</v>
      </c>
      <c r="B178" s="534" t="s">
        <v>637</v>
      </c>
      <c r="C178" s="534"/>
      <c r="D178" s="534"/>
      <c r="E178" s="218">
        <v>2</v>
      </c>
      <c r="F178" s="218">
        <v>1</v>
      </c>
      <c r="G178" s="291" t="s">
        <v>554</v>
      </c>
      <c r="H178" s="291">
        <v>4</v>
      </c>
      <c r="I178" s="313">
        <v>4000</v>
      </c>
      <c r="J178" s="314">
        <f t="shared" si="7"/>
        <v>16000</v>
      </c>
      <c r="K178" s="315"/>
    </row>
    <row r="179" spans="1:12" s="316" customFormat="1" ht="31.5" customHeight="1" x14ac:dyDescent="0.25">
      <c r="A179" s="291">
        <v>9</v>
      </c>
      <c r="B179" s="534" t="s">
        <v>557</v>
      </c>
      <c r="C179" s="534"/>
      <c r="D179" s="534"/>
      <c r="E179" s="291">
        <v>1</v>
      </c>
      <c r="F179" s="291">
        <v>1</v>
      </c>
      <c r="G179" s="321" t="s">
        <v>124</v>
      </c>
      <c r="H179" s="291">
        <v>10</v>
      </c>
      <c r="I179" s="313">
        <v>7200</v>
      </c>
      <c r="J179" s="314">
        <f>ROUND(H179*I179,0)</f>
        <v>72000</v>
      </c>
      <c r="K179" s="315"/>
    </row>
    <row r="180" spans="1:12" s="316" customFormat="1" ht="18" customHeight="1" x14ac:dyDescent="0.25">
      <c r="A180" s="359">
        <v>10</v>
      </c>
      <c r="B180" s="710" t="s">
        <v>558</v>
      </c>
      <c r="C180" s="710"/>
      <c r="D180" s="710"/>
      <c r="E180" s="359">
        <v>1</v>
      </c>
      <c r="F180" s="359">
        <v>1</v>
      </c>
      <c r="G180" s="363" t="s">
        <v>124</v>
      </c>
      <c r="H180" s="359">
        <v>10</v>
      </c>
      <c r="I180" s="360">
        <v>1017.58</v>
      </c>
      <c r="J180" s="361">
        <f>ROUND(H180*I180,0)</f>
        <v>10176</v>
      </c>
      <c r="K180" s="315"/>
      <c r="L180" s="362"/>
    </row>
    <row r="181" spans="1:12" s="316" customFormat="1" x14ac:dyDescent="0.25">
      <c r="A181" s="291">
        <v>11</v>
      </c>
      <c r="B181" s="534" t="s">
        <v>559</v>
      </c>
      <c r="C181" s="534"/>
      <c r="D181" s="534"/>
      <c r="E181" s="291">
        <v>1</v>
      </c>
      <c r="F181" s="291">
        <v>1</v>
      </c>
      <c r="G181" s="321" t="s">
        <v>124</v>
      </c>
      <c r="H181" s="291">
        <v>10</v>
      </c>
      <c r="I181" s="313">
        <v>9900</v>
      </c>
      <c r="J181" s="314">
        <f>ROUND(H181*I181,0)</f>
        <v>99000</v>
      </c>
      <c r="K181" s="315"/>
    </row>
    <row r="182" spans="1:12" s="320" customFormat="1" x14ac:dyDescent="0.25">
      <c r="A182" s="291"/>
      <c r="B182" s="535" t="s">
        <v>638</v>
      </c>
      <c r="C182" s="535"/>
      <c r="D182" s="535"/>
      <c r="E182" s="291" t="s">
        <v>14</v>
      </c>
      <c r="F182" s="291"/>
      <c r="G182" s="536">
        <f>SUM(J171:J181)</f>
        <v>808000</v>
      </c>
      <c r="H182" s="537"/>
      <c r="I182" s="537"/>
      <c r="J182" s="537"/>
      <c r="K182" s="319"/>
    </row>
    <row r="183" spans="1:12" ht="15.75" x14ac:dyDescent="0.25">
      <c r="A183" s="433" t="s">
        <v>290</v>
      </c>
      <c r="B183" s="433"/>
      <c r="C183" s="433"/>
      <c r="D183" s="433"/>
      <c r="E183" s="433"/>
      <c r="F183" s="433"/>
      <c r="G183" s="433"/>
      <c r="H183" s="433"/>
      <c r="I183" s="433"/>
      <c r="J183" s="433"/>
    </row>
    <row r="184" spans="1:12" x14ac:dyDescent="0.25">
      <c r="A184" s="523" t="s">
        <v>1</v>
      </c>
      <c r="B184" s="525" t="s">
        <v>15</v>
      </c>
      <c r="C184" s="526"/>
      <c r="D184" s="527"/>
      <c r="E184" s="525" t="s">
        <v>64</v>
      </c>
      <c r="F184" s="527"/>
      <c r="G184" s="402" t="s">
        <v>65</v>
      </c>
      <c r="H184" s="402"/>
      <c r="I184" s="402"/>
      <c r="J184" s="402"/>
    </row>
    <row r="185" spans="1:12" ht="25.5" x14ac:dyDescent="0.25">
      <c r="A185" s="524"/>
      <c r="B185" s="528"/>
      <c r="C185" s="529"/>
      <c r="D185" s="530"/>
      <c r="E185" s="528"/>
      <c r="F185" s="530"/>
      <c r="G185" s="288" t="s">
        <v>308</v>
      </c>
      <c r="H185" s="288" t="s">
        <v>305</v>
      </c>
      <c r="I185" s="288" t="s">
        <v>306</v>
      </c>
      <c r="J185" s="288" t="s">
        <v>307</v>
      </c>
    </row>
    <row r="186" spans="1:12" x14ac:dyDescent="0.25">
      <c r="A186" s="288">
        <v>1</v>
      </c>
      <c r="B186" s="402">
        <v>2</v>
      </c>
      <c r="C186" s="402"/>
      <c r="D186" s="402"/>
      <c r="E186" s="490">
        <v>3</v>
      </c>
      <c r="F186" s="492"/>
      <c r="G186" s="402">
        <v>4</v>
      </c>
      <c r="H186" s="402"/>
      <c r="I186" s="402"/>
      <c r="J186" s="402"/>
    </row>
    <row r="187" spans="1:12" s="316" customFormat="1" x14ac:dyDescent="0.25">
      <c r="A187" s="359">
        <v>1</v>
      </c>
      <c r="B187" s="710" t="s">
        <v>560</v>
      </c>
      <c r="C187" s="710"/>
      <c r="D187" s="710"/>
      <c r="E187" s="696">
        <v>1</v>
      </c>
      <c r="F187" s="697"/>
      <c r="G187" s="359" t="s">
        <v>561</v>
      </c>
      <c r="H187" s="359">
        <v>13260.8</v>
      </c>
      <c r="I187" s="364">
        <v>130.15</v>
      </c>
      <c r="J187" s="361">
        <f>H187*I187</f>
        <v>1725893.1199999999</v>
      </c>
      <c r="K187" s="365"/>
    </row>
    <row r="188" spans="1:12" s="320" customFormat="1" ht="30" customHeight="1" x14ac:dyDescent="0.25">
      <c r="A188" s="359">
        <v>2</v>
      </c>
      <c r="B188" s="710" t="s">
        <v>562</v>
      </c>
      <c r="C188" s="710"/>
      <c r="D188" s="710"/>
      <c r="E188" s="696">
        <v>1</v>
      </c>
      <c r="F188" s="697"/>
      <c r="G188" s="359" t="s">
        <v>124</v>
      </c>
      <c r="H188" s="359">
        <v>10</v>
      </c>
      <c r="I188" s="364">
        <v>6708.23</v>
      </c>
      <c r="J188" s="361">
        <f>H188*I188</f>
        <v>67082.299999999988</v>
      </c>
      <c r="L188" s="366"/>
    </row>
    <row r="189" spans="1:12" s="320" customFormat="1" ht="16.5" customHeight="1" x14ac:dyDescent="0.25">
      <c r="A189" s="291">
        <v>3</v>
      </c>
      <c r="B189" s="534" t="s">
        <v>563</v>
      </c>
      <c r="C189" s="534"/>
      <c r="D189" s="534"/>
      <c r="E189" s="482">
        <v>1</v>
      </c>
      <c r="F189" s="483"/>
      <c r="G189" s="291" t="s">
        <v>561</v>
      </c>
      <c r="H189" s="291">
        <v>5036.8</v>
      </c>
      <c r="I189" s="331">
        <v>20</v>
      </c>
      <c r="J189" s="314">
        <f>H189*I189</f>
        <v>100736</v>
      </c>
    </row>
    <row r="190" spans="1:12" s="320" customFormat="1" x14ac:dyDescent="0.25">
      <c r="A190" s="291">
        <v>4</v>
      </c>
      <c r="B190" s="534" t="s">
        <v>564</v>
      </c>
      <c r="C190" s="534"/>
      <c r="D190" s="534"/>
      <c r="E190" s="482">
        <v>1</v>
      </c>
      <c r="F190" s="483"/>
      <c r="G190" s="291" t="s">
        <v>561</v>
      </c>
      <c r="H190" s="291">
        <v>1984</v>
      </c>
      <c r="I190" s="331">
        <v>10</v>
      </c>
      <c r="J190" s="314">
        <f t="shared" ref="J190:J194" si="8">H190*I190</f>
        <v>19840</v>
      </c>
    </row>
    <row r="191" spans="1:12" s="316" customFormat="1" ht="30.75" customHeight="1" x14ac:dyDescent="0.25">
      <c r="A191" s="359">
        <v>5</v>
      </c>
      <c r="B191" s="710" t="s">
        <v>565</v>
      </c>
      <c r="C191" s="710"/>
      <c r="D191" s="710"/>
      <c r="E191" s="696">
        <v>1</v>
      </c>
      <c r="F191" s="697"/>
      <c r="G191" s="359" t="s">
        <v>124</v>
      </c>
      <c r="H191" s="359">
        <v>10</v>
      </c>
      <c r="I191" s="364">
        <v>11366.67</v>
      </c>
      <c r="J191" s="361">
        <f>H191*I191-0.04</f>
        <v>113666.66</v>
      </c>
    </row>
    <row r="192" spans="1:12" s="316" customFormat="1" ht="29.25" customHeight="1" x14ac:dyDescent="0.25">
      <c r="A192" s="359">
        <v>6</v>
      </c>
      <c r="B192" s="710" t="s">
        <v>566</v>
      </c>
      <c r="C192" s="710"/>
      <c r="D192" s="710"/>
      <c r="E192" s="696">
        <v>1</v>
      </c>
      <c r="F192" s="697"/>
      <c r="G192" s="359" t="s">
        <v>124</v>
      </c>
      <c r="H192" s="359">
        <v>10</v>
      </c>
      <c r="I192" s="364">
        <v>2300</v>
      </c>
      <c r="J192" s="361">
        <f>H192*I192</f>
        <v>23000</v>
      </c>
    </row>
    <row r="193" spans="1:10" s="316" customFormat="1" x14ac:dyDescent="0.25">
      <c r="A193" s="291">
        <v>7</v>
      </c>
      <c r="B193" s="534" t="s">
        <v>137</v>
      </c>
      <c r="C193" s="534"/>
      <c r="D193" s="534"/>
      <c r="E193" s="482">
        <v>1</v>
      </c>
      <c r="F193" s="483"/>
      <c r="G193" s="291" t="s">
        <v>149</v>
      </c>
      <c r="H193" s="291">
        <v>52</v>
      </c>
      <c r="I193" s="331">
        <v>4000</v>
      </c>
      <c r="J193" s="314">
        <f>H193*I193+21.24-639.32</f>
        <v>207381.91999999998</v>
      </c>
    </row>
    <row r="194" spans="1:10" s="320" customFormat="1" ht="18" customHeight="1" x14ac:dyDescent="0.25">
      <c r="A194" s="291">
        <v>8</v>
      </c>
      <c r="B194" s="534" t="s">
        <v>138</v>
      </c>
      <c r="C194" s="534"/>
      <c r="D194" s="534"/>
      <c r="E194" s="482">
        <v>1</v>
      </c>
      <c r="F194" s="483"/>
      <c r="G194" s="291" t="s">
        <v>309</v>
      </c>
      <c r="H194" s="291">
        <v>1</v>
      </c>
      <c r="I194" s="331">
        <v>57000</v>
      </c>
      <c r="J194" s="314">
        <f t="shared" si="8"/>
        <v>57000</v>
      </c>
    </row>
    <row r="195" spans="1:10" s="320" customFormat="1" ht="27.75" customHeight="1" x14ac:dyDescent="0.25">
      <c r="A195" s="291">
        <v>9</v>
      </c>
      <c r="B195" s="534" t="s">
        <v>639</v>
      </c>
      <c r="C195" s="534"/>
      <c r="D195" s="534"/>
      <c r="E195" s="482">
        <v>1</v>
      </c>
      <c r="F195" s="483"/>
      <c r="G195" s="291" t="s">
        <v>149</v>
      </c>
      <c r="H195" s="291">
        <v>4</v>
      </c>
      <c r="I195" s="331">
        <v>2500</v>
      </c>
      <c r="J195" s="314">
        <f>I195*H195</f>
        <v>10000</v>
      </c>
    </row>
    <row r="196" spans="1:10" s="320" customFormat="1" x14ac:dyDescent="0.25">
      <c r="A196" s="291">
        <v>10</v>
      </c>
      <c r="B196" s="534" t="s">
        <v>140</v>
      </c>
      <c r="C196" s="534"/>
      <c r="D196" s="534"/>
      <c r="E196" s="482">
        <v>1</v>
      </c>
      <c r="F196" s="483"/>
      <c r="G196" s="291" t="s">
        <v>149</v>
      </c>
      <c r="H196" s="291">
        <v>8</v>
      </c>
      <c r="I196" s="331">
        <v>800</v>
      </c>
      <c r="J196" s="314">
        <f>H196*I196</f>
        <v>6400</v>
      </c>
    </row>
    <row r="197" spans="1:10" s="320" customFormat="1" x14ac:dyDescent="0.25">
      <c r="A197" s="291">
        <v>11</v>
      </c>
      <c r="B197" s="534" t="s">
        <v>567</v>
      </c>
      <c r="C197" s="534"/>
      <c r="D197" s="534"/>
      <c r="E197" s="482">
        <v>1</v>
      </c>
      <c r="F197" s="483"/>
      <c r="G197" s="291" t="s">
        <v>149</v>
      </c>
      <c r="H197" s="291">
        <v>1</v>
      </c>
      <c r="I197" s="331">
        <v>16000</v>
      </c>
      <c r="J197" s="314">
        <f>I197*H197</f>
        <v>16000</v>
      </c>
    </row>
    <row r="198" spans="1:10" s="320" customFormat="1" x14ac:dyDescent="0.25">
      <c r="A198" s="291">
        <v>12</v>
      </c>
      <c r="B198" s="534" t="s">
        <v>569</v>
      </c>
      <c r="C198" s="534"/>
      <c r="D198" s="534"/>
      <c r="E198" s="482">
        <v>1</v>
      </c>
      <c r="F198" s="483"/>
      <c r="G198" s="291" t="s">
        <v>309</v>
      </c>
      <c r="H198" s="291">
        <v>1</v>
      </c>
      <c r="I198" s="331">
        <v>24000</v>
      </c>
      <c r="J198" s="314">
        <f>H198*I198</f>
        <v>24000</v>
      </c>
    </row>
    <row r="199" spans="1:10" s="320" customFormat="1" x14ac:dyDescent="0.25">
      <c r="A199" s="291">
        <v>13</v>
      </c>
      <c r="B199" s="534" t="s">
        <v>640</v>
      </c>
      <c r="C199" s="534"/>
      <c r="D199" s="534"/>
      <c r="E199" s="482">
        <v>1</v>
      </c>
      <c r="F199" s="483"/>
      <c r="G199" s="291" t="s">
        <v>309</v>
      </c>
      <c r="H199" s="291">
        <v>1</v>
      </c>
      <c r="I199" s="331">
        <f>2900*12</f>
        <v>34800</v>
      </c>
      <c r="J199" s="314">
        <f>H199*I199</f>
        <v>34800</v>
      </c>
    </row>
    <row r="200" spans="1:10" s="316" customFormat="1" ht="32.25" customHeight="1" x14ac:dyDescent="0.25">
      <c r="A200" s="291">
        <v>14</v>
      </c>
      <c r="B200" s="534" t="s">
        <v>641</v>
      </c>
      <c r="C200" s="534"/>
      <c r="D200" s="534"/>
      <c r="E200" s="482">
        <v>4</v>
      </c>
      <c r="F200" s="483"/>
      <c r="G200" s="291" t="s">
        <v>309</v>
      </c>
      <c r="H200" s="291">
        <v>3</v>
      </c>
      <c r="I200" s="331">
        <v>5000</v>
      </c>
      <c r="J200" s="314">
        <f>H200*I200</f>
        <v>15000</v>
      </c>
    </row>
    <row r="201" spans="1:10" s="320" customFormat="1" ht="15.75" x14ac:dyDescent="0.25">
      <c r="A201" s="332"/>
      <c r="B201" s="685" t="s">
        <v>638</v>
      </c>
      <c r="C201" s="685"/>
      <c r="D201" s="685"/>
      <c r="E201" s="576" t="s">
        <v>14</v>
      </c>
      <c r="F201" s="577"/>
      <c r="G201" s="536">
        <f>SUM(J187:J198)</f>
        <v>2371000</v>
      </c>
      <c r="H201" s="537"/>
      <c r="I201" s="537"/>
      <c r="J201" s="537"/>
    </row>
    <row r="202" spans="1:10" s="320" customFormat="1" ht="15.75" x14ac:dyDescent="0.25">
      <c r="A202" s="332"/>
      <c r="B202" s="685" t="s">
        <v>612</v>
      </c>
      <c r="C202" s="685"/>
      <c r="D202" s="685"/>
      <c r="E202" s="576" t="s">
        <v>14</v>
      </c>
      <c r="F202" s="577"/>
      <c r="G202" s="536">
        <f>J199+J200</f>
        <v>49800</v>
      </c>
      <c r="H202" s="537"/>
      <c r="I202" s="537"/>
      <c r="J202" s="537"/>
    </row>
    <row r="203" spans="1:10" ht="15.75" x14ac:dyDescent="0.25">
      <c r="A203" s="569" t="s">
        <v>390</v>
      </c>
      <c r="B203" s="569"/>
      <c r="C203" s="569"/>
      <c r="D203" s="569"/>
      <c r="E203" s="569"/>
      <c r="F203" s="569"/>
      <c r="G203" s="569"/>
      <c r="H203" s="569"/>
      <c r="I203" s="569"/>
      <c r="J203" s="569"/>
    </row>
    <row r="204" spans="1:10" ht="25.5" x14ac:dyDescent="0.25">
      <c r="A204" s="288" t="s">
        <v>1</v>
      </c>
      <c r="B204" s="402" t="s">
        <v>44</v>
      </c>
      <c r="C204" s="402"/>
      <c r="D204" s="402"/>
      <c r="E204" s="402" t="s">
        <v>58</v>
      </c>
      <c r="F204" s="402"/>
      <c r="G204" s="402" t="s">
        <v>59</v>
      </c>
      <c r="H204" s="402"/>
      <c r="I204" s="402" t="s">
        <v>60</v>
      </c>
      <c r="J204" s="402"/>
    </row>
    <row r="205" spans="1:10" x14ac:dyDescent="0.25">
      <c r="A205" s="288">
        <v>1</v>
      </c>
      <c r="B205" s="402">
        <v>2</v>
      </c>
      <c r="C205" s="402"/>
      <c r="D205" s="402"/>
      <c r="E205" s="402">
        <v>3</v>
      </c>
      <c r="F205" s="402"/>
      <c r="G205" s="402">
        <v>4</v>
      </c>
      <c r="H205" s="402"/>
      <c r="I205" s="402">
        <v>5</v>
      </c>
      <c r="J205" s="402"/>
    </row>
    <row r="206" spans="1:10" x14ac:dyDescent="0.25">
      <c r="A206" s="301" t="s">
        <v>27</v>
      </c>
      <c r="B206" s="496"/>
      <c r="C206" s="504"/>
      <c r="D206" s="497"/>
      <c r="E206" s="515"/>
      <c r="F206" s="515"/>
      <c r="G206" s="515"/>
      <c r="H206" s="515"/>
      <c r="I206" s="515"/>
      <c r="J206" s="515"/>
    </row>
    <row r="207" spans="1:10" x14ac:dyDescent="0.25">
      <c r="A207" s="299"/>
      <c r="B207" s="507" t="s">
        <v>13</v>
      </c>
      <c r="C207" s="507"/>
      <c r="D207" s="507"/>
      <c r="E207" s="508" t="s">
        <v>14</v>
      </c>
      <c r="F207" s="508"/>
      <c r="G207" s="508" t="s">
        <v>14</v>
      </c>
      <c r="H207" s="508"/>
      <c r="I207" s="508">
        <f>I206</f>
        <v>0</v>
      </c>
      <c r="J207" s="508"/>
    </row>
    <row r="208" spans="1:10" ht="15.75" x14ac:dyDescent="0.25">
      <c r="A208" s="434" t="s">
        <v>391</v>
      </c>
      <c r="B208" s="434"/>
      <c r="C208" s="434"/>
      <c r="D208" s="434"/>
      <c r="E208" s="434"/>
      <c r="F208" s="434"/>
      <c r="G208" s="434"/>
      <c r="H208" s="434"/>
      <c r="I208" s="434"/>
      <c r="J208" s="434"/>
    </row>
    <row r="209" spans="1:11" ht="25.5" x14ac:dyDescent="0.25">
      <c r="A209" s="288" t="s">
        <v>1</v>
      </c>
      <c r="B209" s="490" t="s">
        <v>15</v>
      </c>
      <c r="C209" s="491"/>
      <c r="D209" s="492"/>
      <c r="E209" s="490" t="s">
        <v>58</v>
      </c>
      <c r="F209" s="492"/>
      <c r="G209" s="490" t="s">
        <v>66</v>
      </c>
      <c r="H209" s="492"/>
      <c r="I209" s="490" t="s">
        <v>264</v>
      </c>
      <c r="J209" s="492"/>
    </row>
    <row r="210" spans="1:11" x14ac:dyDescent="0.25">
      <c r="A210" s="288">
        <v>1</v>
      </c>
      <c r="B210" s="490">
        <v>2</v>
      </c>
      <c r="C210" s="491"/>
      <c r="D210" s="492"/>
      <c r="E210" s="490">
        <v>3</v>
      </c>
      <c r="F210" s="492"/>
      <c r="G210" s="490">
        <v>4</v>
      </c>
      <c r="H210" s="492"/>
      <c r="I210" s="490">
        <v>5</v>
      </c>
      <c r="J210" s="492"/>
    </row>
    <row r="211" spans="1:11" s="93" customFormat="1" x14ac:dyDescent="0.25">
      <c r="A211" s="298" t="s">
        <v>70</v>
      </c>
      <c r="B211" s="498" t="s">
        <v>384</v>
      </c>
      <c r="C211" s="499"/>
      <c r="D211" s="500"/>
      <c r="E211" s="107"/>
      <c r="F211" s="107"/>
      <c r="G211" s="475"/>
      <c r="H211" s="476"/>
      <c r="I211" s="565">
        <f>I212+I213</f>
        <v>475000</v>
      </c>
      <c r="J211" s="564"/>
    </row>
    <row r="212" spans="1:11" s="93" customFormat="1" ht="15.75" x14ac:dyDescent="0.25">
      <c r="A212" s="367">
        <v>1</v>
      </c>
      <c r="B212" s="700" t="s">
        <v>642</v>
      </c>
      <c r="C212" s="701"/>
      <c r="D212" s="702"/>
      <c r="E212" s="703">
        <v>20</v>
      </c>
      <c r="F212" s="704"/>
      <c r="G212" s="688">
        <v>4000</v>
      </c>
      <c r="H212" s="689"/>
      <c r="I212" s="688">
        <f>E212*G212</f>
        <v>80000</v>
      </c>
      <c r="J212" s="689"/>
    </row>
    <row r="213" spans="1:11" s="93" customFormat="1" ht="47.25" customHeight="1" x14ac:dyDescent="0.25">
      <c r="A213" s="129">
        <v>2</v>
      </c>
      <c r="B213" s="705" t="s">
        <v>643</v>
      </c>
      <c r="C213" s="706"/>
      <c r="D213" s="707"/>
      <c r="E213" s="690" t="s">
        <v>74</v>
      </c>
      <c r="F213" s="691"/>
      <c r="G213" s="690" t="s">
        <v>74</v>
      </c>
      <c r="H213" s="691"/>
      <c r="I213" s="692">
        <v>395000</v>
      </c>
      <c r="J213" s="693"/>
    </row>
    <row r="214" spans="1:11" s="320" customFormat="1" ht="15.75" x14ac:dyDescent="0.25">
      <c r="A214" s="367"/>
      <c r="B214" s="708" t="s">
        <v>638</v>
      </c>
      <c r="C214" s="708"/>
      <c r="D214" s="708"/>
      <c r="E214" s="709"/>
      <c r="F214" s="709"/>
      <c r="G214" s="694"/>
      <c r="H214" s="694"/>
      <c r="I214" s="695">
        <f>I213+I212</f>
        <v>475000</v>
      </c>
      <c r="J214" s="695"/>
      <c r="K214" s="319"/>
    </row>
    <row r="215" spans="1:11" ht="15.75" x14ac:dyDescent="0.25">
      <c r="A215" s="540" t="s">
        <v>392</v>
      </c>
      <c r="B215" s="540"/>
      <c r="C215" s="540"/>
      <c r="D215" s="540"/>
      <c r="E215" s="540"/>
      <c r="F215" s="540"/>
      <c r="G215" s="540"/>
      <c r="H215" s="540"/>
      <c r="I215" s="540"/>
      <c r="J215" s="540"/>
    </row>
    <row r="216" spans="1:11" ht="15.75" x14ac:dyDescent="0.25">
      <c r="A216" s="593"/>
      <c r="B216" s="593"/>
      <c r="C216" s="593"/>
      <c r="D216" s="593"/>
      <c r="E216" s="593"/>
      <c r="F216" s="593"/>
      <c r="G216" s="593"/>
      <c r="H216" s="593"/>
      <c r="I216" s="593"/>
      <c r="J216" s="593"/>
    </row>
    <row r="217" spans="1:11" ht="25.5" x14ac:dyDescent="0.25">
      <c r="A217" s="288" t="s">
        <v>1</v>
      </c>
      <c r="B217" s="402" t="s">
        <v>15</v>
      </c>
      <c r="C217" s="402"/>
      <c r="D217" s="402"/>
      <c r="E217" s="402" t="s">
        <v>58</v>
      </c>
      <c r="F217" s="402"/>
      <c r="G217" s="402" t="s">
        <v>66</v>
      </c>
      <c r="H217" s="402"/>
      <c r="I217" s="402" t="s">
        <v>264</v>
      </c>
      <c r="J217" s="402"/>
    </row>
    <row r="218" spans="1:11" x14ac:dyDescent="0.25">
      <c r="A218" s="288">
        <v>1</v>
      </c>
      <c r="B218" s="402">
        <v>2</v>
      </c>
      <c r="C218" s="402"/>
      <c r="D218" s="402"/>
      <c r="E218" s="402">
        <v>3</v>
      </c>
      <c r="F218" s="402"/>
      <c r="G218" s="402">
        <v>4</v>
      </c>
      <c r="H218" s="402"/>
      <c r="I218" s="402">
        <v>5</v>
      </c>
      <c r="J218" s="402"/>
    </row>
    <row r="219" spans="1:11" s="46" customFormat="1" ht="15.75" x14ac:dyDescent="0.25">
      <c r="A219" s="562" t="s">
        <v>365</v>
      </c>
      <c r="B219" s="562"/>
      <c r="C219" s="562"/>
      <c r="D219" s="562"/>
      <c r="E219" s="562"/>
      <c r="F219" s="562"/>
      <c r="G219" s="562"/>
      <c r="H219" s="562"/>
      <c r="I219" s="562"/>
      <c r="J219" s="562"/>
    </row>
    <row r="220" spans="1:11" s="45" customFormat="1" x14ac:dyDescent="0.25">
      <c r="A220" s="298">
        <v>1</v>
      </c>
      <c r="B220" s="498" t="s">
        <v>646</v>
      </c>
      <c r="C220" s="499"/>
      <c r="D220" s="500"/>
      <c r="E220" s="107"/>
      <c r="F220" s="107"/>
      <c r="G220" s="475"/>
      <c r="H220" s="476"/>
      <c r="I220" s="563">
        <f>SUM(I221:J222)</f>
        <v>80000</v>
      </c>
      <c r="J220" s="564"/>
    </row>
    <row r="221" spans="1:11" s="46" customFormat="1" x14ac:dyDescent="0.25">
      <c r="A221" s="301" t="s">
        <v>27</v>
      </c>
      <c r="B221" s="555" t="s">
        <v>573</v>
      </c>
      <c r="C221" s="555"/>
      <c r="D221" s="555"/>
      <c r="E221" s="236"/>
      <c r="F221" s="237"/>
      <c r="G221" s="556"/>
      <c r="H221" s="556"/>
      <c r="I221" s="557">
        <v>40000</v>
      </c>
      <c r="J221" s="558"/>
    </row>
    <row r="222" spans="1:11" s="45" customFormat="1" x14ac:dyDescent="0.25">
      <c r="A222" s="301" t="s">
        <v>29</v>
      </c>
      <c r="B222" s="555" t="s">
        <v>574</v>
      </c>
      <c r="C222" s="555"/>
      <c r="D222" s="555"/>
      <c r="E222" s="236"/>
      <c r="F222" s="237"/>
      <c r="G222" s="556"/>
      <c r="H222" s="556"/>
      <c r="I222" s="557">
        <v>40000</v>
      </c>
      <c r="J222" s="558"/>
    </row>
    <row r="223" spans="1:11" s="45" customFormat="1" x14ac:dyDescent="0.25">
      <c r="A223" s="109"/>
      <c r="B223" s="507" t="s">
        <v>638</v>
      </c>
      <c r="C223" s="507"/>
      <c r="D223" s="507"/>
      <c r="E223" s="108"/>
      <c r="F223" s="300"/>
      <c r="G223" s="552"/>
      <c r="H223" s="552"/>
      <c r="I223" s="559">
        <f>I220</f>
        <v>80000</v>
      </c>
      <c r="J223" s="454"/>
    </row>
    <row r="224" spans="1:11" s="45" customFormat="1" ht="15.75" x14ac:dyDescent="0.25">
      <c r="A224" s="539" t="s">
        <v>393</v>
      </c>
      <c r="B224" s="539"/>
      <c r="C224" s="539"/>
      <c r="D224" s="539"/>
      <c r="E224" s="539"/>
      <c r="F224" s="539"/>
      <c r="G224" s="539"/>
      <c r="H224" s="539"/>
      <c r="I224" s="539"/>
      <c r="J224" s="539"/>
    </row>
    <row r="225" spans="1:11" x14ac:dyDescent="0.25">
      <c r="A225" s="523" t="s">
        <v>1</v>
      </c>
      <c r="B225" s="525" t="s">
        <v>15</v>
      </c>
      <c r="C225" s="526"/>
      <c r="D225" s="527"/>
      <c r="E225" s="525" t="s">
        <v>64</v>
      </c>
      <c r="F225" s="527"/>
      <c r="G225" s="402" t="s">
        <v>65</v>
      </c>
      <c r="H225" s="402"/>
      <c r="I225" s="402"/>
      <c r="J225" s="402"/>
    </row>
    <row r="226" spans="1:11" ht="25.5" x14ac:dyDescent="0.25">
      <c r="A226" s="524"/>
      <c r="B226" s="528"/>
      <c r="C226" s="529"/>
      <c r="D226" s="530"/>
      <c r="E226" s="528"/>
      <c r="F226" s="530"/>
      <c r="G226" s="288" t="s">
        <v>308</v>
      </c>
      <c r="H226" s="288" t="s">
        <v>305</v>
      </c>
      <c r="I226" s="288" t="s">
        <v>306</v>
      </c>
      <c r="J226" s="288" t="s">
        <v>307</v>
      </c>
    </row>
    <row r="227" spans="1:11" x14ac:dyDescent="0.25">
      <c r="A227" s="288">
        <v>1</v>
      </c>
      <c r="B227" s="402">
        <v>2</v>
      </c>
      <c r="C227" s="402"/>
      <c r="D227" s="402"/>
      <c r="E227" s="490">
        <v>3</v>
      </c>
      <c r="F227" s="492"/>
      <c r="G227" s="402">
        <v>4</v>
      </c>
      <c r="H227" s="402"/>
      <c r="I227" s="402"/>
      <c r="J227" s="402"/>
    </row>
    <row r="228" spans="1:11" s="320" customFormat="1" ht="29.25" customHeight="1" x14ac:dyDescent="0.25">
      <c r="A228" s="291">
        <v>1</v>
      </c>
      <c r="B228" s="534" t="s">
        <v>570</v>
      </c>
      <c r="C228" s="534"/>
      <c r="D228" s="534"/>
      <c r="E228" s="482">
        <v>1</v>
      </c>
      <c r="F228" s="483"/>
      <c r="G228" s="291" t="s">
        <v>309</v>
      </c>
      <c r="H228" s="291">
        <v>1</v>
      </c>
      <c r="I228" s="331">
        <v>48000</v>
      </c>
      <c r="J228" s="314">
        <f t="shared" ref="J228" si="9">H228*I228</f>
        <v>48000</v>
      </c>
    </row>
    <row r="229" spans="1:11" s="320" customFormat="1" ht="29.25" customHeight="1" x14ac:dyDescent="0.25">
      <c r="A229" s="291">
        <v>2</v>
      </c>
      <c r="B229" s="534" t="s">
        <v>571</v>
      </c>
      <c r="C229" s="534"/>
      <c r="D229" s="534"/>
      <c r="E229" s="482">
        <v>1</v>
      </c>
      <c r="F229" s="483"/>
      <c r="G229" s="291" t="s">
        <v>309</v>
      </c>
      <c r="H229" s="291">
        <v>1</v>
      </c>
      <c r="I229" s="331">
        <v>12000</v>
      </c>
      <c r="J229" s="314">
        <f>H229*I229</f>
        <v>12000</v>
      </c>
    </row>
    <row r="230" spans="1:11" s="320" customFormat="1" ht="18.75" customHeight="1" x14ac:dyDescent="0.25">
      <c r="A230" s="291">
        <v>3</v>
      </c>
      <c r="B230" s="534" t="s">
        <v>572</v>
      </c>
      <c r="C230" s="534"/>
      <c r="D230" s="534"/>
      <c r="E230" s="482">
        <v>1</v>
      </c>
      <c r="F230" s="483"/>
      <c r="G230" s="291" t="s">
        <v>309</v>
      </c>
      <c r="H230" s="291">
        <v>1</v>
      </c>
      <c r="I230" s="331">
        <v>8000</v>
      </c>
      <c r="J230" s="314">
        <f t="shared" ref="J230" si="10">H230*I230</f>
        <v>8000</v>
      </c>
    </row>
    <row r="231" spans="1:11" ht="15.75" x14ac:dyDescent="0.25">
      <c r="A231" s="106"/>
      <c r="B231" s="586" t="s">
        <v>13</v>
      </c>
      <c r="C231" s="586"/>
      <c r="D231" s="586"/>
      <c r="E231" s="587" t="s">
        <v>14</v>
      </c>
      <c r="F231" s="588"/>
      <c r="G231" s="589">
        <f>SUM(J228:J230)</f>
        <v>68000</v>
      </c>
      <c r="H231" s="590"/>
      <c r="I231" s="590"/>
      <c r="J231" s="590"/>
    </row>
    <row r="232" spans="1:11" x14ac:dyDescent="0.25">
      <c r="A232" s="93"/>
      <c r="B232" s="93"/>
      <c r="C232" s="93"/>
      <c r="D232" s="93"/>
      <c r="E232" s="93"/>
      <c r="F232" s="93"/>
      <c r="G232" s="93"/>
      <c r="H232" s="93"/>
      <c r="I232" s="93"/>
      <c r="J232" s="93"/>
    </row>
    <row r="233" spans="1:11" x14ac:dyDescent="0.25">
      <c r="A233" s="93"/>
      <c r="B233" s="93"/>
      <c r="C233" s="93"/>
      <c r="D233" s="93"/>
      <c r="E233" s="93"/>
      <c r="F233" s="93"/>
      <c r="G233" s="93"/>
      <c r="H233" s="110" t="s">
        <v>212</v>
      </c>
      <c r="I233" s="560">
        <f>I235+J236</f>
        <v>32191163.244880002</v>
      </c>
      <c r="J233" s="560"/>
    </row>
    <row r="234" spans="1:11" x14ac:dyDescent="0.25">
      <c r="A234" s="93"/>
      <c r="B234" s="93"/>
      <c r="C234" s="93"/>
      <c r="D234" s="93"/>
      <c r="E234" s="93"/>
      <c r="F234" s="93"/>
      <c r="G234" s="93"/>
      <c r="H234" s="111" t="s">
        <v>248</v>
      </c>
      <c r="I234" s="93"/>
      <c r="J234" s="93"/>
    </row>
    <row r="235" spans="1:11" x14ac:dyDescent="0.25">
      <c r="A235" s="93"/>
      <c r="B235" s="93"/>
      <c r="C235" s="93"/>
      <c r="D235" s="93"/>
      <c r="E235" s="93"/>
      <c r="F235" s="93"/>
      <c r="G235" s="93"/>
      <c r="H235" s="111" t="s">
        <v>644</v>
      </c>
      <c r="I235" s="561">
        <f>I223+I214+G201+G182+I160+I131+I86+J46+G231</f>
        <v>31691163.24272</v>
      </c>
      <c r="J235" s="561"/>
      <c r="K235" s="148"/>
    </row>
    <row r="236" spans="1:11" x14ac:dyDescent="0.25">
      <c r="A236" s="93"/>
      <c r="B236" s="93"/>
      <c r="C236" s="93"/>
      <c r="D236" s="93"/>
      <c r="E236" s="93"/>
      <c r="F236" s="93"/>
      <c r="G236" s="93"/>
      <c r="H236" s="111" t="s">
        <v>645</v>
      </c>
      <c r="I236" s="93"/>
      <c r="J236" s="126">
        <f>G202+I161+I87+I58+J47</f>
        <v>500000.00216000009</v>
      </c>
    </row>
    <row r="237" spans="1:11" s="119" customFormat="1" x14ac:dyDescent="0.25">
      <c r="A237" s="406" t="s">
        <v>514</v>
      </c>
      <c r="B237" s="406"/>
      <c r="C237" s="406"/>
      <c r="D237" s="116"/>
      <c r="E237" s="116"/>
      <c r="F237" s="117" t="s">
        <v>690</v>
      </c>
      <c r="G237" s="118"/>
      <c r="H237" s="118"/>
    </row>
    <row r="238" spans="1:11" s="119" customFormat="1" ht="12.75" x14ac:dyDescent="0.2">
      <c r="A238" s="120"/>
      <c r="B238" s="120"/>
      <c r="C238" s="120"/>
      <c r="D238" s="407" t="s">
        <v>281</v>
      </c>
      <c r="E238" s="407"/>
      <c r="F238" s="271" t="s">
        <v>282</v>
      </c>
      <c r="G238" s="271"/>
      <c r="H238" s="271"/>
    </row>
    <row r="239" spans="1:11" s="121" customFormat="1" x14ac:dyDescent="0.25">
      <c r="A239" s="406" t="s">
        <v>262</v>
      </c>
      <c r="B239" s="406"/>
      <c r="C239" s="406"/>
      <c r="D239" s="116"/>
      <c r="E239" s="116"/>
      <c r="F239" s="117" t="s">
        <v>509</v>
      </c>
      <c r="G239" s="117"/>
      <c r="H239" s="117"/>
    </row>
    <row r="240" spans="1:11" s="119" customFormat="1" ht="12.75" x14ac:dyDescent="0.2">
      <c r="A240" s="120"/>
      <c r="B240" s="120"/>
      <c r="C240" s="120"/>
      <c r="D240" s="407" t="s">
        <v>281</v>
      </c>
      <c r="E240" s="407"/>
      <c r="F240" s="271" t="s">
        <v>282</v>
      </c>
      <c r="G240" s="271"/>
      <c r="H240" s="271"/>
    </row>
    <row r="241" spans="1:10" s="121" customFormat="1" x14ac:dyDescent="0.25">
      <c r="A241" s="406" t="s">
        <v>374</v>
      </c>
      <c r="B241" s="406"/>
      <c r="C241" s="406"/>
      <c r="D241" s="116"/>
      <c r="E241" s="116"/>
      <c r="F241" s="117" t="s">
        <v>510</v>
      </c>
      <c r="G241" s="117"/>
      <c r="H241" s="117"/>
    </row>
    <row r="242" spans="1:10" s="119" customFormat="1" ht="12.75" x14ac:dyDescent="0.2">
      <c r="A242" s="289"/>
      <c r="B242" s="289"/>
      <c r="C242" s="289"/>
      <c r="D242" s="407" t="s">
        <v>281</v>
      </c>
      <c r="E242" s="407"/>
      <c r="F242" s="271" t="s">
        <v>282</v>
      </c>
      <c r="G242" s="271"/>
      <c r="H242" s="271"/>
    </row>
    <row r="243" spans="1:10" x14ac:dyDescent="0.25">
      <c r="A243" s="286"/>
      <c r="B243" s="286"/>
      <c r="C243" s="286"/>
      <c r="D243" s="286"/>
      <c r="E243" s="286"/>
      <c r="F243" s="286"/>
      <c r="G243" s="45"/>
      <c r="H243" s="45"/>
      <c r="I243" s="45"/>
      <c r="J243" s="45"/>
    </row>
    <row r="244" spans="1:10" x14ac:dyDescent="0.25">
      <c r="A244" s="47" t="s">
        <v>283</v>
      </c>
      <c r="B244" s="223" t="s">
        <v>578</v>
      </c>
      <c r="C244" s="286"/>
      <c r="D244" s="286"/>
      <c r="E244" s="286"/>
      <c r="F244" s="286"/>
      <c r="G244" s="45"/>
      <c r="H244" s="45"/>
      <c r="I244" s="45"/>
      <c r="J244" s="45"/>
    </row>
    <row r="245" spans="1:10" x14ac:dyDescent="0.25">
      <c r="A245" s="286"/>
      <c r="B245" s="286"/>
      <c r="C245" s="286"/>
      <c r="D245" s="286"/>
      <c r="E245" s="286"/>
      <c r="F245" s="286"/>
      <c r="G245" s="45"/>
      <c r="H245" s="45"/>
      <c r="I245" s="45"/>
      <c r="J245" s="45"/>
    </row>
    <row r="246" spans="1:10" x14ac:dyDescent="0.25">
      <c r="A246" s="392"/>
      <c r="B246" s="392"/>
      <c r="C246" s="286"/>
      <c r="D246" s="286"/>
      <c r="E246" s="286"/>
      <c r="F246" s="286"/>
      <c r="G246" s="45"/>
      <c r="H246" s="45"/>
      <c r="I246" s="45"/>
      <c r="J246" s="45"/>
    </row>
  </sheetData>
  <mergeCells count="516"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17:J17"/>
    <mergeCell ref="A25:J25"/>
    <mergeCell ref="A28:J28"/>
    <mergeCell ref="A33:I33"/>
    <mergeCell ref="A34:I34"/>
    <mergeCell ref="A35:I35"/>
    <mergeCell ref="I9:I11"/>
    <mergeCell ref="J9:J11"/>
    <mergeCell ref="D10:D11"/>
    <mergeCell ref="E10:G10"/>
    <mergeCell ref="A13:J13"/>
    <mergeCell ref="A14:J14"/>
    <mergeCell ref="A36:J36"/>
    <mergeCell ref="A38:I38"/>
    <mergeCell ref="A39:B39"/>
    <mergeCell ref="A40:B40"/>
    <mergeCell ref="A41:J41"/>
    <mergeCell ref="B42:D42"/>
    <mergeCell ref="E42:F42"/>
    <mergeCell ref="G42:H42"/>
    <mergeCell ref="I42:J42"/>
    <mergeCell ref="B45:D45"/>
    <mergeCell ref="E45:F45"/>
    <mergeCell ref="G45:H45"/>
    <mergeCell ref="I45:J45"/>
    <mergeCell ref="A46:B46"/>
    <mergeCell ref="A47:B47"/>
    <mergeCell ref="B43:D43"/>
    <mergeCell ref="E43:F43"/>
    <mergeCell ref="G43:H43"/>
    <mergeCell ref="I43:J43"/>
    <mergeCell ref="B44:D44"/>
    <mergeCell ref="E44:F44"/>
    <mergeCell ref="G44:H44"/>
    <mergeCell ref="I44:J44"/>
    <mergeCell ref="A51:J51"/>
    <mergeCell ref="B52:D52"/>
    <mergeCell ref="E52:F52"/>
    <mergeCell ref="I52:J52"/>
    <mergeCell ref="A53:J53"/>
    <mergeCell ref="B54:D54"/>
    <mergeCell ref="E54:F54"/>
    <mergeCell ref="I54:J54"/>
    <mergeCell ref="A48:J48"/>
    <mergeCell ref="B49:D49"/>
    <mergeCell ref="E49:F49"/>
    <mergeCell ref="I49:J49"/>
    <mergeCell ref="B50:D50"/>
    <mergeCell ref="E50:F50"/>
    <mergeCell ref="I50:J50"/>
    <mergeCell ref="B58:D58"/>
    <mergeCell ref="E58:F58"/>
    <mergeCell ref="I58:J58"/>
    <mergeCell ref="A59:J59"/>
    <mergeCell ref="B60:D60"/>
    <mergeCell ref="E60:F60"/>
    <mergeCell ref="I60:J60"/>
    <mergeCell ref="A55:J55"/>
    <mergeCell ref="B56:D56"/>
    <mergeCell ref="E56:F56"/>
    <mergeCell ref="I56:J56"/>
    <mergeCell ref="B57:D57"/>
    <mergeCell ref="E57:F57"/>
    <mergeCell ref="I57:J57"/>
    <mergeCell ref="B63:D63"/>
    <mergeCell ref="E63:F63"/>
    <mergeCell ref="I63:J63"/>
    <mergeCell ref="A64:J64"/>
    <mergeCell ref="B65:F65"/>
    <mergeCell ref="G65:H65"/>
    <mergeCell ref="I65:J65"/>
    <mergeCell ref="B61:D61"/>
    <mergeCell ref="E61:F61"/>
    <mergeCell ref="I61:J61"/>
    <mergeCell ref="B62:D62"/>
    <mergeCell ref="E62:F62"/>
    <mergeCell ref="I62:J62"/>
    <mergeCell ref="B68:F68"/>
    <mergeCell ref="G68:H68"/>
    <mergeCell ref="I68:J68"/>
    <mergeCell ref="B69:F69"/>
    <mergeCell ref="G69:H69"/>
    <mergeCell ref="I69:J69"/>
    <mergeCell ref="B66:F66"/>
    <mergeCell ref="G66:H66"/>
    <mergeCell ref="I66:J66"/>
    <mergeCell ref="B67:F67"/>
    <mergeCell ref="G67:H67"/>
    <mergeCell ref="I67:J67"/>
    <mergeCell ref="B72:F72"/>
    <mergeCell ref="G72:H72"/>
    <mergeCell ref="I72:J72"/>
    <mergeCell ref="B73:F73"/>
    <mergeCell ref="G73:H73"/>
    <mergeCell ref="I73:J73"/>
    <mergeCell ref="B70:F70"/>
    <mergeCell ref="G70:H70"/>
    <mergeCell ref="I70:J70"/>
    <mergeCell ref="B71:F71"/>
    <mergeCell ref="G71:H71"/>
    <mergeCell ref="I71:J71"/>
    <mergeCell ref="B76:F76"/>
    <mergeCell ref="G76:H76"/>
    <mergeCell ref="I76:J76"/>
    <mergeCell ref="B77:F77"/>
    <mergeCell ref="G77:H77"/>
    <mergeCell ref="I77:J77"/>
    <mergeCell ref="B74:F74"/>
    <mergeCell ref="G74:H74"/>
    <mergeCell ref="I74:J74"/>
    <mergeCell ref="B75:F75"/>
    <mergeCell ref="G75:H75"/>
    <mergeCell ref="I75:J75"/>
    <mergeCell ref="B80:F80"/>
    <mergeCell ref="G80:H80"/>
    <mergeCell ref="I80:J80"/>
    <mergeCell ref="B81:F81"/>
    <mergeCell ref="G81:H81"/>
    <mergeCell ref="I81:J81"/>
    <mergeCell ref="B78:F78"/>
    <mergeCell ref="G78:H78"/>
    <mergeCell ref="I78:J78"/>
    <mergeCell ref="B79:F79"/>
    <mergeCell ref="G79:H79"/>
    <mergeCell ref="I79:J79"/>
    <mergeCell ref="B84:F84"/>
    <mergeCell ref="G84:H84"/>
    <mergeCell ref="I84:J84"/>
    <mergeCell ref="B85:F85"/>
    <mergeCell ref="G85:H85"/>
    <mergeCell ref="I85:J85"/>
    <mergeCell ref="B82:F82"/>
    <mergeCell ref="G82:H82"/>
    <mergeCell ref="I82:J82"/>
    <mergeCell ref="B83:F83"/>
    <mergeCell ref="G83:H83"/>
    <mergeCell ref="I83:J83"/>
    <mergeCell ref="K88:L88"/>
    <mergeCell ref="A89:J89"/>
    <mergeCell ref="A90:J90"/>
    <mergeCell ref="B86:F86"/>
    <mergeCell ref="G86:H86"/>
    <mergeCell ref="I86:J86"/>
    <mergeCell ref="B87:F87"/>
    <mergeCell ref="G87:H87"/>
    <mergeCell ref="I87:J87"/>
    <mergeCell ref="B93:D93"/>
    <mergeCell ref="E93:F93"/>
    <mergeCell ref="G93:H93"/>
    <mergeCell ref="I93:J93"/>
    <mergeCell ref="B94:D94"/>
    <mergeCell ref="E94:F94"/>
    <mergeCell ref="G94:H94"/>
    <mergeCell ref="I94:J94"/>
    <mergeCell ref="B88:F88"/>
    <mergeCell ref="G88:H88"/>
    <mergeCell ref="I88:J88"/>
    <mergeCell ref="B97:D97"/>
    <mergeCell ref="E97:F97"/>
    <mergeCell ref="G97:H97"/>
    <mergeCell ref="I97:J97"/>
    <mergeCell ref="B98:D98"/>
    <mergeCell ref="E98:F98"/>
    <mergeCell ref="G98:H98"/>
    <mergeCell ref="I98:J98"/>
    <mergeCell ref="B95:D95"/>
    <mergeCell ref="E95:F95"/>
    <mergeCell ref="G95:H95"/>
    <mergeCell ref="I95:J95"/>
    <mergeCell ref="B96:D96"/>
    <mergeCell ref="E96:F96"/>
    <mergeCell ref="G96:H96"/>
    <mergeCell ref="I96:J96"/>
    <mergeCell ref="A99:J99"/>
    <mergeCell ref="B102:D102"/>
    <mergeCell ref="E102:F102"/>
    <mergeCell ref="G102:H102"/>
    <mergeCell ref="I102:J102"/>
    <mergeCell ref="B103:D103"/>
    <mergeCell ref="E103:F103"/>
    <mergeCell ref="G103:H103"/>
    <mergeCell ref="I103:J103"/>
    <mergeCell ref="B106:D106"/>
    <mergeCell ref="E106:F106"/>
    <mergeCell ref="G106:H106"/>
    <mergeCell ref="I106:J106"/>
    <mergeCell ref="A107:J107"/>
    <mergeCell ref="K107:L107"/>
    <mergeCell ref="A104:A105"/>
    <mergeCell ref="B104:C105"/>
    <mergeCell ref="E104:F104"/>
    <mergeCell ref="G104:H104"/>
    <mergeCell ref="I104:J104"/>
    <mergeCell ref="E105:F105"/>
    <mergeCell ref="G105:H105"/>
    <mergeCell ref="I105:J105"/>
    <mergeCell ref="B112:D112"/>
    <mergeCell ref="E112:F112"/>
    <mergeCell ref="G112:H112"/>
    <mergeCell ref="I112:J112"/>
    <mergeCell ref="B113:D113"/>
    <mergeCell ref="E113:F113"/>
    <mergeCell ref="G113:H113"/>
    <mergeCell ref="I113:J113"/>
    <mergeCell ref="B110:D110"/>
    <mergeCell ref="E110:F110"/>
    <mergeCell ref="G110:H110"/>
    <mergeCell ref="I110:J110"/>
    <mergeCell ref="B111:D111"/>
    <mergeCell ref="E111:F111"/>
    <mergeCell ref="G111:H111"/>
    <mergeCell ref="I111:J111"/>
    <mergeCell ref="B119:D119"/>
    <mergeCell ref="E119:F119"/>
    <mergeCell ref="G119:H119"/>
    <mergeCell ref="I119:J119"/>
    <mergeCell ref="B120:D120"/>
    <mergeCell ref="E120:F120"/>
    <mergeCell ref="G120:H120"/>
    <mergeCell ref="I120:J120"/>
    <mergeCell ref="A114:J114"/>
    <mergeCell ref="B117:D117"/>
    <mergeCell ref="E117:F117"/>
    <mergeCell ref="G117:H117"/>
    <mergeCell ref="I117:J117"/>
    <mergeCell ref="B118:D118"/>
    <mergeCell ref="E118:F118"/>
    <mergeCell ref="G118:H118"/>
    <mergeCell ref="I118:J118"/>
    <mergeCell ref="B127:D127"/>
    <mergeCell ref="G127:H127"/>
    <mergeCell ref="I127:J127"/>
    <mergeCell ref="B128:D128"/>
    <mergeCell ref="G128:H128"/>
    <mergeCell ref="I128:J128"/>
    <mergeCell ref="A121:J121"/>
    <mergeCell ref="A124:J124"/>
    <mergeCell ref="B125:D125"/>
    <mergeCell ref="G125:H125"/>
    <mergeCell ref="I125:J125"/>
    <mergeCell ref="B126:D126"/>
    <mergeCell ref="G126:H126"/>
    <mergeCell ref="I126:J126"/>
    <mergeCell ref="B131:D131"/>
    <mergeCell ref="G131:H131"/>
    <mergeCell ref="I131:J131"/>
    <mergeCell ref="A133:J133"/>
    <mergeCell ref="B134:D134"/>
    <mergeCell ref="E134:F134"/>
    <mergeCell ref="G134:H134"/>
    <mergeCell ref="I134:J134"/>
    <mergeCell ref="B129:D129"/>
    <mergeCell ref="G129:H129"/>
    <mergeCell ref="I129:J129"/>
    <mergeCell ref="B130:D130"/>
    <mergeCell ref="G130:H130"/>
    <mergeCell ref="I130:J130"/>
    <mergeCell ref="B137:D137"/>
    <mergeCell ref="E137:F137"/>
    <mergeCell ref="G137:H137"/>
    <mergeCell ref="I137:J137"/>
    <mergeCell ref="A138:J138"/>
    <mergeCell ref="B139:D139"/>
    <mergeCell ref="F139:G139"/>
    <mergeCell ref="I139:J139"/>
    <mergeCell ref="B135:D135"/>
    <mergeCell ref="E135:F135"/>
    <mergeCell ref="G135:H135"/>
    <mergeCell ref="I135:J135"/>
    <mergeCell ref="B136:D136"/>
    <mergeCell ref="E136:F136"/>
    <mergeCell ref="G136:H136"/>
    <mergeCell ref="I136:J136"/>
    <mergeCell ref="B142:D142"/>
    <mergeCell ref="F142:G142"/>
    <mergeCell ref="I142:J142"/>
    <mergeCell ref="B143:D143"/>
    <mergeCell ref="F143:G143"/>
    <mergeCell ref="I143:J143"/>
    <mergeCell ref="B140:D140"/>
    <mergeCell ref="F140:G140"/>
    <mergeCell ref="I140:J140"/>
    <mergeCell ref="B141:D141"/>
    <mergeCell ref="F141:G141"/>
    <mergeCell ref="I141:J141"/>
    <mergeCell ref="B146:D146"/>
    <mergeCell ref="F146:G146"/>
    <mergeCell ref="I146:J146"/>
    <mergeCell ref="B147:D147"/>
    <mergeCell ref="F147:G147"/>
    <mergeCell ref="I147:J147"/>
    <mergeCell ref="B144:D144"/>
    <mergeCell ref="F144:G144"/>
    <mergeCell ref="I144:J144"/>
    <mergeCell ref="B145:D145"/>
    <mergeCell ref="F145:G145"/>
    <mergeCell ref="I145:J145"/>
    <mergeCell ref="B150:D150"/>
    <mergeCell ref="F150:G150"/>
    <mergeCell ref="I150:J150"/>
    <mergeCell ref="B151:D151"/>
    <mergeCell ref="F151:G151"/>
    <mergeCell ref="I151:J151"/>
    <mergeCell ref="B148:D148"/>
    <mergeCell ref="F148:G148"/>
    <mergeCell ref="I148:J148"/>
    <mergeCell ref="B149:D149"/>
    <mergeCell ref="F149:G149"/>
    <mergeCell ref="I149:J149"/>
    <mergeCell ref="B154:D154"/>
    <mergeCell ref="I154:J154"/>
    <mergeCell ref="B155:D155"/>
    <mergeCell ref="I155:J155"/>
    <mergeCell ref="B156:D156"/>
    <mergeCell ref="I156:J156"/>
    <mergeCell ref="B152:D152"/>
    <mergeCell ref="F152:G152"/>
    <mergeCell ref="I152:J152"/>
    <mergeCell ref="B153:D153"/>
    <mergeCell ref="F153:G153"/>
    <mergeCell ref="I153:J153"/>
    <mergeCell ref="B159:D159"/>
    <mergeCell ref="F159:G159"/>
    <mergeCell ref="I159:J159"/>
    <mergeCell ref="B160:D160"/>
    <mergeCell ref="F160:G160"/>
    <mergeCell ref="I160:J160"/>
    <mergeCell ref="B157:D157"/>
    <mergeCell ref="F157:G157"/>
    <mergeCell ref="I157:J157"/>
    <mergeCell ref="B158:D158"/>
    <mergeCell ref="F158:G158"/>
    <mergeCell ref="I158:J158"/>
    <mergeCell ref="B164:D164"/>
    <mergeCell ref="E164:F164"/>
    <mergeCell ref="G164:H164"/>
    <mergeCell ref="I164:J164"/>
    <mergeCell ref="B165:D165"/>
    <mergeCell ref="E165:F165"/>
    <mergeCell ref="G165:H165"/>
    <mergeCell ref="I165:J165"/>
    <mergeCell ref="B161:D161"/>
    <mergeCell ref="F161:G161"/>
    <mergeCell ref="I161:J161"/>
    <mergeCell ref="A162:J162"/>
    <mergeCell ref="B163:D163"/>
    <mergeCell ref="E163:F163"/>
    <mergeCell ref="G163:H163"/>
    <mergeCell ref="I163:J163"/>
    <mergeCell ref="B170:D170"/>
    <mergeCell ref="G170:J170"/>
    <mergeCell ref="B171:D171"/>
    <mergeCell ref="B172:D172"/>
    <mergeCell ref="B173:D173"/>
    <mergeCell ref="B174:D174"/>
    <mergeCell ref="B166:D166"/>
    <mergeCell ref="E166:F166"/>
    <mergeCell ref="G166:H166"/>
    <mergeCell ref="I166:J166"/>
    <mergeCell ref="A167:J167"/>
    <mergeCell ref="A168:A169"/>
    <mergeCell ref="B168:D169"/>
    <mergeCell ref="E168:E169"/>
    <mergeCell ref="F168:F169"/>
    <mergeCell ref="G168:J168"/>
    <mergeCell ref="B181:D181"/>
    <mergeCell ref="B182:D182"/>
    <mergeCell ref="G182:J182"/>
    <mergeCell ref="A183:J183"/>
    <mergeCell ref="A184:A185"/>
    <mergeCell ref="B184:D185"/>
    <mergeCell ref="E184:F185"/>
    <mergeCell ref="G184:J184"/>
    <mergeCell ref="B175:D175"/>
    <mergeCell ref="B176:D176"/>
    <mergeCell ref="B177:D177"/>
    <mergeCell ref="B178:D178"/>
    <mergeCell ref="B179:D179"/>
    <mergeCell ref="B180:D180"/>
    <mergeCell ref="B189:D189"/>
    <mergeCell ref="E189:F189"/>
    <mergeCell ref="B190:D190"/>
    <mergeCell ref="E190:F190"/>
    <mergeCell ref="B191:D191"/>
    <mergeCell ref="E191:F191"/>
    <mergeCell ref="B186:D186"/>
    <mergeCell ref="E186:F186"/>
    <mergeCell ref="G186:J186"/>
    <mergeCell ref="B187:D187"/>
    <mergeCell ref="E187:F187"/>
    <mergeCell ref="B188:D188"/>
    <mergeCell ref="E188:F188"/>
    <mergeCell ref="B198:D198"/>
    <mergeCell ref="E198:F198"/>
    <mergeCell ref="B195:D195"/>
    <mergeCell ref="E195:F195"/>
    <mergeCell ref="B196:D196"/>
    <mergeCell ref="E196:F196"/>
    <mergeCell ref="B197:D197"/>
    <mergeCell ref="E197:F197"/>
    <mergeCell ref="B192:D192"/>
    <mergeCell ref="E192:F192"/>
    <mergeCell ref="B193:D193"/>
    <mergeCell ref="E193:F193"/>
    <mergeCell ref="B194:D194"/>
    <mergeCell ref="E194:F194"/>
    <mergeCell ref="B201:D201"/>
    <mergeCell ref="E201:F201"/>
    <mergeCell ref="G201:J201"/>
    <mergeCell ref="B202:D202"/>
    <mergeCell ref="E202:F202"/>
    <mergeCell ref="G202:J202"/>
    <mergeCell ref="B199:D199"/>
    <mergeCell ref="E199:F199"/>
    <mergeCell ref="B200:D200"/>
    <mergeCell ref="E200:F200"/>
    <mergeCell ref="B206:D206"/>
    <mergeCell ref="E206:F206"/>
    <mergeCell ref="G206:H206"/>
    <mergeCell ref="I206:J206"/>
    <mergeCell ref="B207:D207"/>
    <mergeCell ref="E207:F207"/>
    <mergeCell ref="G207:H207"/>
    <mergeCell ref="I207:J207"/>
    <mergeCell ref="A203:J203"/>
    <mergeCell ref="B204:D204"/>
    <mergeCell ref="E204:F204"/>
    <mergeCell ref="G204:H204"/>
    <mergeCell ref="I204:J204"/>
    <mergeCell ref="B205:D205"/>
    <mergeCell ref="E205:F205"/>
    <mergeCell ref="G205:H205"/>
    <mergeCell ref="I205:J205"/>
    <mergeCell ref="B211:D211"/>
    <mergeCell ref="G211:H211"/>
    <mergeCell ref="I211:J211"/>
    <mergeCell ref="B212:D212"/>
    <mergeCell ref="E212:F212"/>
    <mergeCell ref="G212:H212"/>
    <mergeCell ref="I212:J212"/>
    <mergeCell ref="A208:J208"/>
    <mergeCell ref="B209:D209"/>
    <mergeCell ref="E209:F209"/>
    <mergeCell ref="G209:H209"/>
    <mergeCell ref="I209:J209"/>
    <mergeCell ref="B210:D210"/>
    <mergeCell ref="E210:F210"/>
    <mergeCell ref="G210:H210"/>
    <mergeCell ref="I210:J210"/>
    <mergeCell ref="A215:J215"/>
    <mergeCell ref="A216:J216"/>
    <mergeCell ref="B217:D217"/>
    <mergeCell ref="E217:F217"/>
    <mergeCell ref="G217:H217"/>
    <mergeCell ref="I217:J217"/>
    <mergeCell ref="B213:D213"/>
    <mergeCell ref="E213:F213"/>
    <mergeCell ref="G213:H213"/>
    <mergeCell ref="I213:J213"/>
    <mergeCell ref="B214:D214"/>
    <mergeCell ref="E214:F214"/>
    <mergeCell ref="G214:H214"/>
    <mergeCell ref="I214:J214"/>
    <mergeCell ref="B221:D221"/>
    <mergeCell ref="G221:H221"/>
    <mergeCell ref="I221:J221"/>
    <mergeCell ref="B222:D222"/>
    <mergeCell ref="G222:H222"/>
    <mergeCell ref="I222:J222"/>
    <mergeCell ref="B218:D218"/>
    <mergeCell ref="E218:F218"/>
    <mergeCell ref="G218:H218"/>
    <mergeCell ref="I218:J218"/>
    <mergeCell ref="A219:J219"/>
    <mergeCell ref="B220:D220"/>
    <mergeCell ref="G220:H220"/>
    <mergeCell ref="I220:J220"/>
    <mergeCell ref="B227:D227"/>
    <mergeCell ref="E227:F227"/>
    <mergeCell ref="G227:J227"/>
    <mergeCell ref="B228:D228"/>
    <mergeCell ref="E228:F228"/>
    <mergeCell ref="B231:D231"/>
    <mergeCell ref="E231:F231"/>
    <mergeCell ref="G231:J231"/>
    <mergeCell ref="B223:D223"/>
    <mergeCell ref="G223:H223"/>
    <mergeCell ref="I223:J223"/>
    <mergeCell ref="A224:J224"/>
    <mergeCell ref="A225:A226"/>
    <mergeCell ref="B225:D226"/>
    <mergeCell ref="E225:F226"/>
    <mergeCell ref="G225:J225"/>
    <mergeCell ref="A241:C241"/>
    <mergeCell ref="D242:E242"/>
    <mergeCell ref="A246:B246"/>
    <mergeCell ref="B229:D229"/>
    <mergeCell ref="E229:F229"/>
    <mergeCell ref="B230:D230"/>
    <mergeCell ref="E230:F230"/>
    <mergeCell ref="I233:J233"/>
    <mergeCell ref="I235:J235"/>
    <mergeCell ref="A237:C237"/>
    <mergeCell ref="D238:E238"/>
    <mergeCell ref="A239:C239"/>
    <mergeCell ref="D240:E24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view="pageBreakPreview" topLeftCell="A209" zoomScale="60" zoomScaleNormal="100" workbookViewId="0">
      <selection activeCell="D240" sqref="D240"/>
    </sheetView>
  </sheetViews>
  <sheetFormatPr defaultColWidth="9.140625" defaultRowHeight="15" x14ac:dyDescent="0.25"/>
  <cols>
    <col min="1" max="1" width="5.140625" style="1" customWidth="1"/>
    <col min="2" max="2" width="25" style="1" customWidth="1"/>
    <col min="3" max="3" width="9.140625" style="1"/>
    <col min="4" max="4" width="17.140625" style="1" customWidth="1"/>
    <col min="5" max="5" width="13.140625" style="1" customWidth="1"/>
    <col min="6" max="6" width="10.7109375" style="1" customWidth="1"/>
    <col min="7" max="7" width="12.28515625" style="1" customWidth="1"/>
    <col min="8" max="8" width="10.7109375" style="1" customWidth="1"/>
    <col min="9" max="9" width="11.5703125" style="1" customWidth="1"/>
    <col min="10" max="10" width="17.5703125" style="1" customWidth="1"/>
    <col min="11" max="11" width="16.42578125" style="1" customWidth="1"/>
    <col min="12" max="12" width="18.140625" style="1" customWidth="1"/>
    <col min="13" max="13" width="9.7109375" style="1" customWidth="1"/>
    <col min="14" max="14" width="14" style="1" customWidth="1"/>
    <col min="15" max="16384" width="9.140625" style="1"/>
  </cols>
  <sheetData>
    <row r="1" spans="1:11" ht="15.75" x14ac:dyDescent="0.25">
      <c r="A1" s="432" t="s">
        <v>68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15.75" x14ac:dyDescent="0.25">
      <c r="A2" s="432" t="s">
        <v>511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15.75" x14ac:dyDescent="0.25">
      <c r="A3" s="432" t="s">
        <v>600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5.75" x14ac:dyDescent="0.25">
      <c r="A4" s="92"/>
      <c r="B4" s="93"/>
      <c r="C4" s="93"/>
      <c r="D4" s="94" t="s">
        <v>266</v>
      </c>
      <c r="E4" s="294">
        <v>2022</v>
      </c>
      <c r="F4" s="96" t="s">
        <v>648</v>
      </c>
      <c r="G4" s="93"/>
      <c r="H4" s="93"/>
      <c r="I4" s="93"/>
      <c r="J4" s="93"/>
    </row>
    <row r="5" spans="1:11" ht="15.75" x14ac:dyDescent="0.25">
      <c r="A5" s="433" t="s">
        <v>0</v>
      </c>
      <c r="B5" s="433"/>
      <c r="C5" s="433"/>
      <c r="D5" s="433"/>
      <c r="E5" s="433"/>
      <c r="F5" s="433"/>
      <c r="G5" s="433"/>
      <c r="H5" s="433"/>
      <c r="I5" s="433"/>
      <c r="J5" s="433"/>
    </row>
    <row r="6" spans="1:11" ht="15.75" x14ac:dyDescent="0.25">
      <c r="A6" s="92" t="s">
        <v>80</v>
      </c>
      <c r="B6" s="93"/>
      <c r="C6" s="97">
        <v>111</v>
      </c>
      <c r="D6" s="97">
        <v>112</v>
      </c>
      <c r="E6" s="97">
        <v>119</v>
      </c>
      <c r="F6" s="98"/>
      <c r="G6" s="98"/>
      <c r="H6" s="98"/>
      <c r="I6" s="98"/>
      <c r="J6" s="98"/>
    </row>
    <row r="7" spans="1:11" ht="15.75" x14ac:dyDescent="0.25">
      <c r="A7" s="92" t="s">
        <v>81</v>
      </c>
      <c r="B7" s="93"/>
      <c r="C7" s="93"/>
      <c r="D7" s="93"/>
      <c r="E7" s="99"/>
      <c r="F7" s="100"/>
      <c r="G7" s="99"/>
      <c r="H7" s="100"/>
      <c r="I7" s="100"/>
      <c r="J7" s="100"/>
    </row>
    <row r="8" spans="1:11" ht="15.75" x14ac:dyDescent="0.25">
      <c r="A8" s="434" t="s">
        <v>351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1" x14ac:dyDescent="0.25">
      <c r="A9" s="435" t="s">
        <v>1</v>
      </c>
      <c r="B9" s="410" t="s">
        <v>2</v>
      </c>
      <c r="C9" s="410" t="s">
        <v>3</v>
      </c>
      <c r="D9" s="435" t="s">
        <v>4</v>
      </c>
      <c r="E9" s="435"/>
      <c r="F9" s="435"/>
      <c r="G9" s="435"/>
      <c r="H9" s="435" t="s">
        <v>5</v>
      </c>
      <c r="I9" s="410" t="s">
        <v>6</v>
      </c>
      <c r="J9" s="410" t="s">
        <v>316</v>
      </c>
    </row>
    <row r="10" spans="1:11" x14ac:dyDescent="0.25">
      <c r="A10" s="435"/>
      <c r="B10" s="410"/>
      <c r="C10" s="410"/>
      <c r="D10" s="410" t="s">
        <v>8</v>
      </c>
      <c r="E10" s="410" t="s">
        <v>9</v>
      </c>
      <c r="F10" s="410"/>
      <c r="G10" s="410"/>
      <c r="H10" s="435"/>
      <c r="I10" s="410"/>
      <c r="J10" s="410"/>
    </row>
    <row r="11" spans="1:11" ht="75" x14ac:dyDescent="0.25">
      <c r="A11" s="435"/>
      <c r="B11" s="410"/>
      <c r="C11" s="410"/>
      <c r="D11" s="410"/>
      <c r="E11" s="290" t="s">
        <v>10</v>
      </c>
      <c r="F11" s="290" t="s">
        <v>11</v>
      </c>
      <c r="G11" s="290" t="s">
        <v>12</v>
      </c>
      <c r="H11" s="435"/>
      <c r="I11" s="410"/>
      <c r="J11" s="410"/>
    </row>
    <row r="12" spans="1:11" ht="15.75" x14ac:dyDescent="0.25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>
        <v>10</v>
      </c>
    </row>
    <row r="13" spans="1:11" s="41" customFormat="1" x14ac:dyDescent="0.2">
      <c r="A13" s="409" t="s">
        <v>352</v>
      </c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1" s="41" customFormat="1" x14ac:dyDescent="0.2">
      <c r="A14" s="438" t="s">
        <v>319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1" x14ac:dyDescent="0.25">
      <c r="A15" s="295">
        <v>1</v>
      </c>
      <c r="B15" s="130" t="s">
        <v>514</v>
      </c>
      <c r="C15" s="295">
        <v>1</v>
      </c>
      <c r="D15" s="131">
        <f>E15+F15+G15</f>
        <v>25887.599999999999</v>
      </c>
      <c r="E15" s="131">
        <v>21573</v>
      </c>
      <c r="F15" s="131"/>
      <c r="G15" s="131">
        <v>4314.6000000000004</v>
      </c>
      <c r="H15" s="132">
        <v>50</v>
      </c>
      <c r="I15" s="295">
        <v>1.7</v>
      </c>
      <c r="J15" s="133">
        <f>((C15*D15*(H15/100+I15))*12)</f>
        <v>683432.64</v>
      </c>
    </row>
    <row r="16" spans="1:11" x14ac:dyDescent="0.25">
      <c r="A16" s="134"/>
      <c r="B16" s="135" t="s">
        <v>320</v>
      </c>
      <c r="C16" s="136">
        <f>SUM(C15:C15)</f>
        <v>1</v>
      </c>
      <c r="D16" s="137">
        <f>SUM(D15:D15)</f>
        <v>25887.599999999999</v>
      </c>
      <c r="E16" s="136" t="s">
        <v>14</v>
      </c>
      <c r="F16" s="136" t="s">
        <v>14</v>
      </c>
      <c r="G16" s="136" t="s">
        <v>14</v>
      </c>
      <c r="H16" s="136" t="s">
        <v>14</v>
      </c>
      <c r="I16" s="136" t="s">
        <v>14</v>
      </c>
      <c r="J16" s="137">
        <f>SUM(J15:J15)</f>
        <v>683432.64</v>
      </c>
      <c r="K16" s="151"/>
    </row>
    <row r="17" spans="1:11" x14ac:dyDescent="0.25">
      <c r="A17" s="436" t="s">
        <v>321</v>
      </c>
      <c r="B17" s="437"/>
      <c r="C17" s="437"/>
      <c r="D17" s="437"/>
      <c r="E17" s="437"/>
      <c r="F17" s="437"/>
      <c r="G17" s="437"/>
      <c r="H17" s="437"/>
      <c r="I17" s="437"/>
      <c r="J17" s="437"/>
    </row>
    <row r="18" spans="1:11" ht="30" x14ac:dyDescent="0.25">
      <c r="A18" s="295">
        <v>2</v>
      </c>
      <c r="B18" s="130" t="s">
        <v>601</v>
      </c>
      <c r="C18" s="295">
        <v>27.22</v>
      </c>
      <c r="D18" s="131">
        <f>E18+F18+G18</f>
        <v>13294.8</v>
      </c>
      <c r="E18" s="149">
        <v>11079</v>
      </c>
      <c r="F18" s="131"/>
      <c r="G18" s="131">
        <f>E18*20%</f>
        <v>2215.8000000000002</v>
      </c>
      <c r="H18" s="132">
        <v>50</v>
      </c>
      <c r="I18" s="295">
        <v>1.7</v>
      </c>
      <c r="J18" s="153">
        <f>(C18*D18*(H18/100+I18))*12</f>
        <v>9553749.6383999996</v>
      </c>
      <c r="K18" s="147"/>
    </row>
    <row r="19" spans="1:11" x14ac:dyDescent="0.25">
      <c r="A19" s="295">
        <v>3</v>
      </c>
      <c r="B19" s="130" t="s">
        <v>516</v>
      </c>
      <c r="C19" s="295">
        <v>1</v>
      </c>
      <c r="D19" s="131">
        <f t="shared" ref="D19:D31" si="0">E19+F19+G19</f>
        <v>14373.6</v>
      </c>
      <c r="E19" s="149">
        <v>11978</v>
      </c>
      <c r="F19" s="131"/>
      <c r="G19" s="131">
        <f t="shared" ref="G19:G23" si="1">E19*20%</f>
        <v>2395.6</v>
      </c>
      <c r="H19" s="132">
        <v>50</v>
      </c>
      <c r="I19" s="295">
        <v>1.7</v>
      </c>
      <c r="J19" s="153">
        <f t="shared" ref="J19:J23" si="2">(C19*D19*(H19/100+I19))*12</f>
        <v>379463.04000000004</v>
      </c>
    </row>
    <row r="20" spans="1:11" x14ac:dyDescent="0.25">
      <c r="A20" s="295">
        <v>4</v>
      </c>
      <c r="B20" s="130" t="s">
        <v>373</v>
      </c>
      <c r="C20" s="295">
        <v>1</v>
      </c>
      <c r="D20" s="131">
        <f t="shared" si="0"/>
        <v>12248.4</v>
      </c>
      <c r="E20" s="149">
        <v>10207</v>
      </c>
      <c r="F20" s="131"/>
      <c r="G20" s="131">
        <f t="shared" si="1"/>
        <v>2041.4</v>
      </c>
      <c r="H20" s="132">
        <v>50</v>
      </c>
      <c r="I20" s="295">
        <v>1.7</v>
      </c>
      <c r="J20" s="153">
        <f t="shared" si="2"/>
        <v>323357.76</v>
      </c>
    </row>
    <row r="21" spans="1:11" x14ac:dyDescent="0.25">
      <c r="A21" s="295">
        <v>5</v>
      </c>
      <c r="B21" s="130" t="s">
        <v>372</v>
      </c>
      <c r="C21" s="295">
        <v>1</v>
      </c>
      <c r="D21" s="131">
        <f t="shared" si="0"/>
        <v>12248.4</v>
      </c>
      <c r="E21" s="149">
        <v>10207</v>
      </c>
      <c r="F21" s="131"/>
      <c r="G21" s="131">
        <f t="shared" si="1"/>
        <v>2041.4</v>
      </c>
      <c r="H21" s="132">
        <v>50</v>
      </c>
      <c r="I21" s="295">
        <v>1.7</v>
      </c>
      <c r="J21" s="153">
        <f t="shared" si="2"/>
        <v>323357.76</v>
      </c>
      <c r="K21" s="89"/>
    </row>
    <row r="22" spans="1:11" ht="30" x14ac:dyDescent="0.25">
      <c r="A22" s="295">
        <v>6</v>
      </c>
      <c r="B22" s="130" t="s">
        <v>517</v>
      </c>
      <c r="C22" s="295">
        <v>1</v>
      </c>
      <c r="D22" s="131">
        <f t="shared" si="0"/>
        <v>12248.4</v>
      </c>
      <c r="E22" s="149">
        <v>10207</v>
      </c>
      <c r="F22" s="131"/>
      <c r="G22" s="131">
        <f t="shared" si="1"/>
        <v>2041.4</v>
      </c>
      <c r="H22" s="132">
        <v>50</v>
      </c>
      <c r="I22" s="295">
        <v>1.7</v>
      </c>
      <c r="J22" s="153">
        <f t="shared" si="2"/>
        <v>323357.76</v>
      </c>
      <c r="K22" s="150"/>
    </row>
    <row r="23" spans="1:11" x14ac:dyDescent="0.25">
      <c r="A23" s="295">
        <v>7</v>
      </c>
      <c r="B23" s="130" t="s">
        <v>521</v>
      </c>
      <c r="C23" s="295">
        <v>1</v>
      </c>
      <c r="D23" s="131">
        <f>E23+F23+G23</f>
        <v>12248.4</v>
      </c>
      <c r="E23" s="149">
        <v>10207</v>
      </c>
      <c r="F23" s="131"/>
      <c r="G23" s="131">
        <f t="shared" si="1"/>
        <v>2041.4</v>
      </c>
      <c r="H23" s="132">
        <v>50</v>
      </c>
      <c r="I23" s="295">
        <v>1.7</v>
      </c>
      <c r="J23" s="153">
        <f t="shared" si="2"/>
        <v>323357.76</v>
      </c>
    </row>
    <row r="24" spans="1:11" x14ac:dyDescent="0.25">
      <c r="A24" s="134"/>
      <c r="B24" s="135" t="s">
        <v>324</v>
      </c>
      <c r="C24" s="136">
        <f>SUM(C18:C23)</f>
        <v>32.22</v>
      </c>
      <c r="D24" s="138">
        <f>SUM(D18:D23)</f>
        <v>76662</v>
      </c>
      <c r="E24" s="136" t="s">
        <v>14</v>
      </c>
      <c r="F24" s="136" t="s">
        <v>14</v>
      </c>
      <c r="G24" s="136" t="s">
        <v>14</v>
      </c>
      <c r="H24" s="136" t="s">
        <v>14</v>
      </c>
      <c r="I24" s="136" t="s">
        <v>14</v>
      </c>
      <c r="J24" s="138">
        <f>SUM(J18:J23)</f>
        <v>11226643.718399998</v>
      </c>
    </row>
    <row r="25" spans="1:11" x14ac:dyDescent="0.25">
      <c r="A25" s="436" t="s">
        <v>325</v>
      </c>
      <c r="B25" s="437"/>
      <c r="C25" s="437"/>
      <c r="D25" s="437"/>
      <c r="E25" s="437"/>
      <c r="F25" s="437"/>
      <c r="G25" s="437"/>
      <c r="H25" s="437"/>
      <c r="I25" s="437"/>
      <c r="J25" s="437"/>
    </row>
    <row r="26" spans="1:11" x14ac:dyDescent="0.25">
      <c r="A26" s="295">
        <v>8</v>
      </c>
      <c r="B26" s="130" t="s">
        <v>524</v>
      </c>
      <c r="C26" s="295">
        <v>0.5</v>
      </c>
      <c r="D26" s="131">
        <f t="shared" si="0"/>
        <v>10615.2</v>
      </c>
      <c r="E26" s="149">
        <v>8846</v>
      </c>
      <c r="F26" s="131"/>
      <c r="G26" s="131">
        <f>E26*20%</f>
        <v>1769.2</v>
      </c>
      <c r="H26" s="132">
        <v>50</v>
      </c>
      <c r="I26" s="295">
        <v>1.7</v>
      </c>
      <c r="J26" s="133">
        <f t="shared" ref="J26" si="3">(C26*D26*(H26/100+I26))*12</f>
        <v>140120.64000000001</v>
      </c>
      <c r="K26" s="150"/>
    </row>
    <row r="27" spans="1:11" x14ac:dyDescent="0.25">
      <c r="A27" s="134"/>
      <c r="B27" s="135" t="s">
        <v>327</v>
      </c>
      <c r="C27" s="136">
        <f>SUM(C26:C26)</f>
        <v>0.5</v>
      </c>
      <c r="D27" s="138">
        <f>SUM(D26:D26)</f>
        <v>10615.2</v>
      </c>
      <c r="E27" s="136" t="s">
        <v>14</v>
      </c>
      <c r="F27" s="136" t="s">
        <v>14</v>
      </c>
      <c r="G27" s="136" t="s">
        <v>14</v>
      </c>
      <c r="H27" s="136" t="s">
        <v>14</v>
      </c>
      <c r="I27" s="136" t="s">
        <v>14</v>
      </c>
      <c r="J27" s="139">
        <f>SUM(J26:J26)</f>
        <v>140120.64000000001</v>
      </c>
    </row>
    <row r="28" spans="1:11" x14ac:dyDescent="0.25">
      <c r="A28" s="436" t="s">
        <v>328</v>
      </c>
      <c r="B28" s="439"/>
      <c r="C28" s="439"/>
      <c r="D28" s="439"/>
      <c r="E28" s="439"/>
      <c r="F28" s="439"/>
      <c r="G28" s="439"/>
      <c r="H28" s="439"/>
      <c r="I28" s="439"/>
      <c r="J28" s="439"/>
    </row>
    <row r="29" spans="1:11" x14ac:dyDescent="0.25">
      <c r="A29" s="295">
        <v>9</v>
      </c>
      <c r="B29" s="130" t="s">
        <v>525</v>
      </c>
      <c r="C29" s="295">
        <v>0.5</v>
      </c>
      <c r="D29" s="131">
        <f t="shared" si="0"/>
        <v>11472</v>
      </c>
      <c r="E29" s="149">
        <v>9560</v>
      </c>
      <c r="F29" s="131"/>
      <c r="G29" s="131">
        <f>E29*20%</f>
        <v>1912</v>
      </c>
      <c r="H29" s="132">
        <v>50</v>
      </c>
      <c r="I29" s="295">
        <v>1.7</v>
      </c>
      <c r="J29" s="133">
        <f>((C29*D29*(H29/100+I29))*12)</f>
        <v>151430.40000000002</v>
      </c>
      <c r="K29" s="150"/>
    </row>
    <row r="30" spans="1:11" x14ac:dyDescent="0.25">
      <c r="A30" s="295">
        <v>10</v>
      </c>
      <c r="B30" s="130" t="s">
        <v>526</v>
      </c>
      <c r="C30" s="295">
        <v>2.2000000000000002</v>
      </c>
      <c r="D30" s="131">
        <f>E30+F30+G30</f>
        <v>11472</v>
      </c>
      <c r="E30" s="149">
        <v>9560</v>
      </c>
      <c r="F30" s="131"/>
      <c r="G30" s="131">
        <f t="shared" ref="G30:G31" si="4">E30*20%</f>
        <v>1912</v>
      </c>
      <c r="H30" s="132">
        <v>50</v>
      </c>
      <c r="I30" s="295">
        <v>1.7</v>
      </c>
      <c r="J30" s="133">
        <f t="shared" ref="J30:J31" si="5">((C30*D30*(H30/100+I30))*12)</f>
        <v>666293.76000000013</v>
      </c>
      <c r="K30" s="150"/>
    </row>
    <row r="31" spans="1:11" x14ac:dyDescent="0.25">
      <c r="A31" s="295">
        <v>11</v>
      </c>
      <c r="B31" s="130" t="s">
        <v>527</v>
      </c>
      <c r="C31" s="295">
        <v>1</v>
      </c>
      <c r="D31" s="131">
        <f t="shared" si="0"/>
        <v>11640</v>
      </c>
      <c r="E31" s="149">
        <v>9700</v>
      </c>
      <c r="F31" s="131"/>
      <c r="G31" s="131">
        <f t="shared" si="4"/>
        <v>1940</v>
      </c>
      <c r="H31" s="132">
        <v>50</v>
      </c>
      <c r="I31" s="295">
        <v>1.7</v>
      </c>
      <c r="J31" s="133">
        <f t="shared" si="5"/>
        <v>307296.00000000006</v>
      </c>
    </row>
    <row r="32" spans="1:11" x14ac:dyDescent="0.25">
      <c r="A32" s="134"/>
      <c r="B32" s="135" t="s">
        <v>317</v>
      </c>
      <c r="C32" s="136">
        <f>SUM(C29:C31)</f>
        <v>3.7</v>
      </c>
      <c r="D32" s="138">
        <f>SUM(D29:D31)</f>
        <v>34584</v>
      </c>
      <c r="E32" s="136" t="s">
        <v>14</v>
      </c>
      <c r="F32" s="136" t="s">
        <v>14</v>
      </c>
      <c r="G32" s="136" t="s">
        <v>14</v>
      </c>
      <c r="H32" s="136" t="s">
        <v>14</v>
      </c>
      <c r="I32" s="136" t="s">
        <v>14</v>
      </c>
      <c r="J32" s="139">
        <f>SUM(J29:J31)</f>
        <v>1125020.1600000001</v>
      </c>
      <c r="K32" s="151"/>
    </row>
    <row r="33" spans="1:12" x14ac:dyDescent="0.25">
      <c r="A33" s="429" t="s">
        <v>336</v>
      </c>
      <c r="B33" s="430"/>
      <c r="C33" s="430"/>
      <c r="D33" s="430"/>
      <c r="E33" s="430"/>
      <c r="F33" s="430"/>
      <c r="G33" s="430"/>
      <c r="H33" s="430"/>
      <c r="I33" s="431"/>
      <c r="J33" s="202">
        <f>(J16+J24+J27+J32)*10%</f>
        <v>1317521.71584</v>
      </c>
      <c r="K33" s="151"/>
    </row>
    <row r="34" spans="1:12" s="41" customFormat="1" x14ac:dyDescent="0.2">
      <c r="A34" s="441" t="s">
        <v>531</v>
      </c>
      <c r="B34" s="442"/>
      <c r="C34" s="442"/>
      <c r="D34" s="442"/>
      <c r="E34" s="442"/>
      <c r="F34" s="442"/>
      <c r="G34" s="442"/>
      <c r="H34" s="442"/>
      <c r="I34" s="442"/>
      <c r="J34" s="141">
        <v>6090672.9000000004</v>
      </c>
    </row>
    <row r="35" spans="1:12" s="41" customFormat="1" x14ac:dyDescent="0.2">
      <c r="A35" s="441" t="s">
        <v>318</v>
      </c>
      <c r="B35" s="442"/>
      <c r="C35" s="442"/>
      <c r="D35" s="442"/>
      <c r="E35" s="442"/>
      <c r="F35" s="442"/>
      <c r="G35" s="442"/>
      <c r="H35" s="442"/>
      <c r="I35" s="442"/>
      <c r="J35" s="141">
        <v>66000</v>
      </c>
    </row>
    <row r="36" spans="1:12" x14ac:dyDescent="0.25">
      <c r="A36" s="436" t="s">
        <v>604</v>
      </c>
      <c r="B36" s="437"/>
      <c r="C36" s="437"/>
      <c r="D36" s="437"/>
      <c r="E36" s="437"/>
      <c r="F36" s="437"/>
      <c r="G36" s="437"/>
      <c r="H36" s="437"/>
      <c r="I36" s="437"/>
      <c r="J36" s="437"/>
    </row>
    <row r="37" spans="1:12" ht="30" x14ac:dyDescent="0.25">
      <c r="A37" s="295">
        <v>12</v>
      </c>
      <c r="B37" s="130" t="s">
        <v>601</v>
      </c>
      <c r="C37" s="295">
        <v>0.7</v>
      </c>
      <c r="D37" s="131">
        <f>E37+F37+G37</f>
        <v>13145.220000000001</v>
      </c>
      <c r="E37" s="149">
        <v>10954.35</v>
      </c>
      <c r="F37" s="131"/>
      <c r="G37" s="131">
        <f>E37*20%</f>
        <v>2190.8700000000003</v>
      </c>
      <c r="H37" s="132">
        <v>50</v>
      </c>
      <c r="I37" s="295">
        <v>1.7</v>
      </c>
      <c r="J37" s="153">
        <f>(C37*D37*(H37/100+I37))*12</f>
        <v>242923.66560000007</v>
      </c>
      <c r="K37" s="147"/>
    </row>
    <row r="38" spans="1:12" x14ac:dyDescent="0.25">
      <c r="A38" s="429" t="s">
        <v>605</v>
      </c>
      <c r="B38" s="430"/>
      <c r="C38" s="430"/>
      <c r="D38" s="430"/>
      <c r="E38" s="430"/>
      <c r="F38" s="430"/>
      <c r="G38" s="430"/>
      <c r="H38" s="430"/>
      <c r="I38" s="431"/>
      <c r="J38" s="202">
        <f>J37*10%-7216.03</f>
        <v>17076.336560000011</v>
      </c>
      <c r="K38" s="151"/>
    </row>
    <row r="39" spans="1:12" x14ac:dyDescent="0.25">
      <c r="A39" s="440" t="s">
        <v>602</v>
      </c>
      <c r="B39" s="440"/>
      <c r="C39" s="90">
        <f>C16+C24+C27+C32</f>
        <v>37.42</v>
      </c>
      <c r="D39" s="91">
        <f>D16+D24+D27+D32</f>
        <v>147748.79999999999</v>
      </c>
      <c r="E39" s="90" t="s">
        <v>14</v>
      </c>
      <c r="F39" s="90" t="s">
        <v>14</v>
      </c>
      <c r="G39" s="90" t="s">
        <v>14</v>
      </c>
      <c r="H39" s="90" t="s">
        <v>14</v>
      </c>
      <c r="I39" s="90" t="s">
        <v>14</v>
      </c>
      <c r="J39" s="203">
        <f>J16+J24+J27+J32+J33+J34+J35-449248.53</f>
        <v>20200163.244240001</v>
      </c>
      <c r="K39" s="89"/>
      <c r="L39" s="89"/>
    </row>
    <row r="40" spans="1:12" x14ac:dyDescent="0.25">
      <c r="A40" s="440" t="s">
        <v>606</v>
      </c>
      <c r="B40" s="440"/>
      <c r="C40" s="90">
        <f>C37</f>
        <v>0.7</v>
      </c>
      <c r="D40" s="91">
        <f>D37</f>
        <v>13145.220000000001</v>
      </c>
      <c r="E40" s="90" t="s">
        <v>14</v>
      </c>
      <c r="F40" s="90" t="s">
        <v>14</v>
      </c>
      <c r="G40" s="90" t="s">
        <v>14</v>
      </c>
      <c r="H40" s="90" t="s">
        <v>14</v>
      </c>
      <c r="I40" s="90" t="s">
        <v>14</v>
      </c>
      <c r="J40" s="203">
        <f>J37+J38</f>
        <v>260000.00216000009</v>
      </c>
      <c r="K40" s="89"/>
      <c r="L40" s="89"/>
    </row>
    <row r="41" spans="1:12" x14ac:dyDescent="0.25">
      <c r="A41" s="411" t="s">
        <v>353</v>
      </c>
      <c r="B41" s="412"/>
      <c r="C41" s="412"/>
      <c r="D41" s="412"/>
      <c r="E41" s="412"/>
      <c r="F41" s="412"/>
      <c r="G41" s="412"/>
      <c r="H41" s="412"/>
      <c r="I41" s="412"/>
      <c r="J41" s="413"/>
    </row>
    <row r="42" spans="1:12" ht="25.5" x14ac:dyDescent="0.25">
      <c r="A42" s="292" t="s">
        <v>1</v>
      </c>
      <c r="B42" s="427" t="s">
        <v>44</v>
      </c>
      <c r="C42" s="427"/>
      <c r="D42" s="427"/>
      <c r="E42" s="427" t="s">
        <v>45</v>
      </c>
      <c r="F42" s="427"/>
      <c r="G42" s="427" t="s">
        <v>46</v>
      </c>
      <c r="H42" s="427"/>
      <c r="I42" s="427" t="s">
        <v>102</v>
      </c>
      <c r="J42" s="427"/>
    </row>
    <row r="43" spans="1:12" x14ac:dyDescent="0.25">
      <c r="A43" s="293">
        <v>1</v>
      </c>
      <c r="B43" s="428">
        <v>2</v>
      </c>
      <c r="C43" s="428"/>
      <c r="D43" s="428"/>
      <c r="E43" s="428">
        <v>3</v>
      </c>
      <c r="F43" s="428"/>
      <c r="G43" s="428">
        <v>4</v>
      </c>
      <c r="H43" s="428"/>
      <c r="I43" s="428">
        <v>5</v>
      </c>
      <c r="J43" s="428"/>
    </row>
    <row r="44" spans="1:12" ht="34.5" customHeight="1" x14ac:dyDescent="0.25">
      <c r="A44" s="213">
        <v>1</v>
      </c>
      <c r="B44" s="414" t="s">
        <v>607</v>
      </c>
      <c r="C44" s="415"/>
      <c r="D44" s="416"/>
      <c r="E44" s="417">
        <v>2500</v>
      </c>
      <c r="F44" s="417"/>
      <c r="G44" s="418">
        <v>16</v>
      </c>
      <c r="H44" s="418"/>
      <c r="I44" s="419">
        <f>E44*G44</f>
        <v>40000</v>
      </c>
      <c r="J44" s="419"/>
    </row>
    <row r="45" spans="1:12" ht="33" customHeight="1" x14ac:dyDescent="0.25">
      <c r="A45" s="213">
        <v>2</v>
      </c>
      <c r="B45" s="414" t="s">
        <v>608</v>
      </c>
      <c r="C45" s="415"/>
      <c r="D45" s="416"/>
      <c r="E45" s="417">
        <v>2500</v>
      </c>
      <c r="F45" s="417"/>
      <c r="G45" s="418">
        <v>5</v>
      </c>
      <c r="H45" s="418"/>
      <c r="I45" s="419">
        <f>E45*G45-2500</f>
        <v>10000</v>
      </c>
      <c r="J45" s="419"/>
    </row>
    <row r="46" spans="1:12" x14ac:dyDescent="0.25">
      <c r="A46" s="420" t="s">
        <v>603</v>
      </c>
      <c r="B46" s="420"/>
      <c r="C46" s="142">
        <f>C39</f>
        <v>37.42</v>
      </c>
      <c r="D46" s="143">
        <f>D39</f>
        <v>147748.79999999999</v>
      </c>
      <c r="E46" s="144" t="s">
        <v>14</v>
      </c>
      <c r="F46" s="144" t="s">
        <v>14</v>
      </c>
      <c r="G46" s="144" t="s">
        <v>14</v>
      </c>
      <c r="H46" s="144" t="s">
        <v>14</v>
      </c>
      <c r="I46" s="144" t="s">
        <v>14</v>
      </c>
      <c r="J46" s="145">
        <f>J39+I44</f>
        <v>20240163.244240001</v>
      </c>
    </row>
    <row r="47" spans="1:12" x14ac:dyDescent="0.25">
      <c r="A47" s="420" t="s">
        <v>603</v>
      </c>
      <c r="B47" s="420"/>
      <c r="C47" s="142">
        <f>C40</f>
        <v>0.7</v>
      </c>
      <c r="D47" s="143">
        <f>D40</f>
        <v>13145.220000000001</v>
      </c>
      <c r="E47" s="144" t="s">
        <v>14</v>
      </c>
      <c r="F47" s="144" t="s">
        <v>14</v>
      </c>
      <c r="G47" s="144" t="s">
        <v>14</v>
      </c>
      <c r="H47" s="144" t="s">
        <v>14</v>
      </c>
      <c r="I47" s="144" t="s">
        <v>14</v>
      </c>
      <c r="J47" s="145">
        <f>J40+I45</f>
        <v>270000.00216000009</v>
      </c>
    </row>
    <row r="48" spans="1:12" s="41" customFormat="1" ht="15.75" x14ac:dyDescent="0.25">
      <c r="A48" s="484" t="s">
        <v>354</v>
      </c>
      <c r="B48" s="484"/>
      <c r="C48" s="484"/>
      <c r="D48" s="484"/>
      <c r="E48" s="484"/>
      <c r="F48" s="484"/>
      <c r="G48" s="484"/>
      <c r="H48" s="484"/>
      <c r="I48" s="484"/>
      <c r="J48" s="484"/>
    </row>
    <row r="49" spans="1:10" ht="38.25" x14ac:dyDescent="0.25">
      <c r="A49" s="293" t="s">
        <v>1</v>
      </c>
      <c r="B49" s="428" t="s">
        <v>15</v>
      </c>
      <c r="C49" s="428"/>
      <c r="D49" s="428"/>
      <c r="E49" s="428" t="s">
        <v>16</v>
      </c>
      <c r="F49" s="428"/>
      <c r="G49" s="293" t="s">
        <v>17</v>
      </c>
      <c r="H49" s="293" t="s">
        <v>18</v>
      </c>
      <c r="I49" s="428" t="s">
        <v>104</v>
      </c>
      <c r="J49" s="428"/>
    </row>
    <row r="50" spans="1:10" x14ac:dyDescent="0.25">
      <c r="A50" s="293">
        <v>1</v>
      </c>
      <c r="B50" s="428">
        <v>2</v>
      </c>
      <c r="C50" s="428"/>
      <c r="D50" s="428"/>
      <c r="E50" s="428">
        <v>3</v>
      </c>
      <c r="F50" s="428"/>
      <c r="G50" s="293">
        <v>4</v>
      </c>
      <c r="H50" s="293">
        <v>5</v>
      </c>
      <c r="I50" s="428">
        <v>6</v>
      </c>
      <c r="J50" s="428"/>
    </row>
    <row r="51" spans="1:10" x14ac:dyDescent="0.25">
      <c r="A51" s="411" t="s">
        <v>355</v>
      </c>
      <c r="B51" s="412"/>
      <c r="C51" s="412"/>
      <c r="D51" s="412"/>
      <c r="E51" s="412"/>
      <c r="F51" s="412"/>
      <c r="G51" s="412"/>
      <c r="H51" s="412"/>
      <c r="I51" s="412"/>
      <c r="J51" s="413"/>
    </row>
    <row r="52" spans="1:10" ht="44.25" customHeight="1" x14ac:dyDescent="0.25">
      <c r="A52" s="291" t="s">
        <v>70</v>
      </c>
      <c r="B52" s="599" t="s">
        <v>609</v>
      </c>
      <c r="C52" s="600"/>
      <c r="D52" s="601"/>
      <c r="E52" s="570">
        <v>300</v>
      </c>
      <c r="F52" s="571"/>
      <c r="G52" s="291">
        <v>50</v>
      </c>
      <c r="H52" s="291">
        <v>1</v>
      </c>
      <c r="I52" s="572">
        <f>E52*G52*H52</f>
        <v>15000</v>
      </c>
      <c r="J52" s="572"/>
    </row>
    <row r="53" spans="1:10" x14ac:dyDescent="0.25">
      <c r="A53" s="411" t="s">
        <v>357</v>
      </c>
      <c r="B53" s="412"/>
      <c r="C53" s="412"/>
      <c r="D53" s="412"/>
      <c r="E53" s="412"/>
      <c r="F53" s="412"/>
      <c r="G53" s="412"/>
      <c r="H53" s="412"/>
      <c r="I53" s="412"/>
      <c r="J53" s="413"/>
    </row>
    <row r="54" spans="1:10" x14ac:dyDescent="0.25">
      <c r="A54" s="291" t="s">
        <v>70</v>
      </c>
      <c r="B54" s="467"/>
      <c r="C54" s="468"/>
      <c r="D54" s="469"/>
      <c r="E54" s="470"/>
      <c r="F54" s="470"/>
      <c r="G54" s="152"/>
      <c r="H54" s="217"/>
      <c r="I54" s="471">
        <f>E54*G54</f>
        <v>0</v>
      </c>
      <c r="J54" s="471"/>
    </row>
    <row r="55" spans="1:10" x14ac:dyDescent="0.25">
      <c r="A55" s="411" t="s">
        <v>358</v>
      </c>
      <c r="B55" s="412"/>
      <c r="C55" s="412"/>
      <c r="D55" s="412"/>
      <c r="E55" s="412"/>
      <c r="F55" s="412"/>
      <c r="G55" s="412"/>
      <c r="H55" s="412"/>
      <c r="I55" s="412"/>
      <c r="J55" s="413"/>
    </row>
    <row r="56" spans="1:10" ht="31.5" customHeight="1" x14ac:dyDescent="0.25">
      <c r="A56" s="218" t="s">
        <v>75</v>
      </c>
      <c r="B56" s="594" t="s">
        <v>610</v>
      </c>
      <c r="C56" s="595"/>
      <c r="D56" s="596"/>
      <c r="E56" s="597">
        <v>5000</v>
      </c>
      <c r="F56" s="597"/>
      <c r="G56" s="218">
        <v>3</v>
      </c>
      <c r="H56" s="218">
        <v>1</v>
      </c>
      <c r="I56" s="598">
        <f>E56*G56*H56</f>
        <v>15000</v>
      </c>
      <c r="J56" s="598"/>
    </row>
    <row r="57" spans="1:10" ht="32.25" customHeight="1" x14ac:dyDescent="0.25">
      <c r="A57" s="218" t="s">
        <v>75</v>
      </c>
      <c r="B57" s="594" t="s">
        <v>611</v>
      </c>
      <c r="C57" s="595"/>
      <c r="D57" s="596"/>
      <c r="E57" s="597">
        <v>10000</v>
      </c>
      <c r="F57" s="597"/>
      <c r="G57" s="218">
        <v>5</v>
      </c>
      <c r="H57" s="218">
        <v>1</v>
      </c>
      <c r="I57" s="598">
        <f>E57*G57*H57</f>
        <v>50000</v>
      </c>
      <c r="J57" s="598"/>
    </row>
    <row r="58" spans="1:10" x14ac:dyDescent="0.25">
      <c r="A58" s="291"/>
      <c r="B58" s="535" t="s">
        <v>612</v>
      </c>
      <c r="C58" s="535"/>
      <c r="D58" s="535"/>
      <c r="E58" s="418" t="s">
        <v>14</v>
      </c>
      <c r="F58" s="418"/>
      <c r="G58" s="291" t="s">
        <v>14</v>
      </c>
      <c r="H58" s="291" t="s">
        <v>14</v>
      </c>
      <c r="I58" s="477">
        <f>I52+I54+I56+I57</f>
        <v>80000</v>
      </c>
      <c r="J58" s="477"/>
    </row>
    <row r="59" spans="1:10" ht="15.75" x14ac:dyDescent="0.25">
      <c r="A59" s="489" t="s">
        <v>360</v>
      </c>
      <c r="B59" s="489"/>
      <c r="C59" s="489"/>
      <c r="D59" s="489"/>
      <c r="E59" s="489"/>
      <c r="F59" s="489"/>
      <c r="G59" s="489"/>
      <c r="H59" s="489"/>
      <c r="I59" s="489"/>
      <c r="J59" s="489"/>
    </row>
    <row r="60" spans="1:10" ht="51" x14ac:dyDescent="0.25">
      <c r="A60" s="293" t="s">
        <v>1</v>
      </c>
      <c r="B60" s="428" t="s">
        <v>15</v>
      </c>
      <c r="C60" s="428"/>
      <c r="D60" s="428"/>
      <c r="E60" s="479" t="s">
        <v>20</v>
      </c>
      <c r="F60" s="480"/>
      <c r="G60" s="293" t="s">
        <v>21</v>
      </c>
      <c r="H60" s="293" t="s">
        <v>22</v>
      </c>
      <c r="I60" s="428" t="s">
        <v>19</v>
      </c>
      <c r="J60" s="428"/>
    </row>
    <row r="61" spans="1:10" x14ac:dyDescent="0.25">
      <c r="A61" s="293">
        <v>1</v>
      </c>
      <c r="B61" s="428">
        <v>2</v>
      </c>
      <c r="C61" s="428"/>
      <c r="D61" s="428"/>
      <c r="E61" s="479">
        <v>3</v>
      </c>
      <c r="F61" s="480"/>
      <c r="G61" s="293">
        <v>4</v>
      </c>
      <c r="H61" s="293">
        <v>5</v>
      </c>
      <c r="I61" s="428">
        <v>6</v>
      </c>
      <c r="J61" s="428"/>
    </row>
    <row r="62" spans="1:10" x14ac:dyDescent="0.25">
      <c r="A62" s="295" t="s">
        <v>70</v>
      </c>
      <c r="B62" s="421"/>
      <c r="C62" s="422"/>
      <c r="D62" s="423"/>
      <c r="E62" s="424"/>
      <c r="F62" s="425"/>
      <c r="G62" s="220"/>
      <c r="H62" s="220"/>
      <c r="I62" s="426">
        <f>E62*G62*H62</f>
        <v>0</v>
      </c>
      <c r="J62" s="426"/>
    </row>
    <row r="63" spans="1:10" x14ac:dyDescent="0.25">
      <c r="A63" s="219"/>
      <c r="B63" s="481" t="s">
        <v>13</v>
      </c>
      <c r="C63" s="481"/>
      <c r="D63" s="481"/>
      <c r="E63" s="482" t="s">
        <v>14</v>
      </c>
      <c r="F63" s="483"/>
      <c r="G63" s="291" t="s">
        <v>14</v>
      </c>
      <c r="H63" s="291" t="s">
        <v>14</v>
      </c>
      <c r="I63" s="477">
        <f>SUM(I62)</f>
        <v>0</v>
      </c>
      <c r="J63" s="478"/>
    </row>
    <row r="64" spans="1:10" s="41" customFormat="1" ht="15.75" x14ac:dyDescent="0.25">
      <c r="A64" s="484" t="s">
        <v>298</v>
      </c>
      <c r="B64" s="484"/>
      <c r="C64" s="484"/>
      <c r="D64" s="484"/>
      <c r="E64" s="484"/>
      <c r="F64" s="484"/>
      <c r="G64" s="484"/>
      <c r="H64" s="484"/>
      <c r="I64" s="484"/>
      <c r="J64" s="484"/>
    </row>
    <row r="65" spans="1:11" ht="25.5" x14ac:dyDescent="0.25">
      <c r="A65" s="198" t="s">
        <v>1</v>
      </c>
      <c r="B65" s="485" t="s">
        <v>23</v>
      </c>
      <c r="C65" s="486"/>
      <c r="D65" s="486"/>
      <c r="E65" s="486"/>
      <c r="F65" s="487"/>
      <c r="G65" s="485" t="s">
        <v>24</v>
      </c>
      <c r="H65" s="487"/>
      <c r="I65" s="485" t="s">
        <v>25</v>
      </c>
      <c r="J65" s="487"/>
    </row>
    <row r="66" spans="1:11" x14ac:dyDescent="0.25">
      <c r="A66" s="288">
        <v>1</v>
      </c>
      <c r="B66" s="490">
        <v>2</v>
      </c>
      <c r="C66" s="491"/>
      <c r="D66" s="491"/>
      <c r="E66" s="491"/>
      <c r="F66" s="492"/>
      <c r="G66" s="490">
        <v>3</v>
      </c>
      <c r="H66" s="492"/>
      <c r="I66" s="490">
        <v>4</v>
      </c>
      <c r="J66" s="492"/>
    </row>
    <row r="67" spans="1:11" x14ac:dyDescent="0.25">
      <c r="A67" s="298" t="s">
        <v>70</v>
      </c>
      <c r="B67" s="472" t="s">
        <v>613</v>
      </c>
      <c r="C67" s="473"/>
      <c r="D67" s="473"/>
      <c r="E67" s="473"/>
      <c r="F67" s="474"/>
      <c r="G67" s="475" t="s">
        <v>14</v>
      </c>
      <c r="H67" s="476"/>
      <c r="I67" s="443">
        <f>I70</f>
        <v>4443586.6128000002</v>
      </c>
      <c r="J67" s="444"/>
    </row>
    <row r="68" spans="1:11" x14ac:dyDescent="0.25">
      <c r="A68" s="298" t="s">
        <v>70</v>
      </c>
      <c r="B68" s="472" t="s">
        <v>614</v>
      </c>
      <c r="C68" s="473"/>
      <c r="D68" s="473"/>
      <c r="E68" s="473"/>
      <c r="F68" s="474"/>
      <c r="G68" s="475" t="s">
        <v>14</v>
      </c>
      <c r="H68" s="476"/>
      <c r="I68" s="443">
        <f>I71</f>
        <v>58880</v>
      </c>
      <c r="J68" s="444"/>
    </row>
    <row r="69" spans="1:11" x14ac:dyDescent="0.25">
      <c r="A69" s="102"/>
      <c r="B69" s="496" t="s">
        <v>9</v>
      </c>
      <c r="C69" s="504"/>
      <c r="D69" s="504"/>
      <c r="E69" s="504"/>
      <c r="F69" s="497"/>
      <c r="G69" s="458"/>
      <c r="H69" s="459"/>
      <c r="I69" s="460"/>
      <c r="J69" s="461"/>
    </row>
    <row r="70" spans="1:11" s="41" customFormat="1" x14ac:dyDescent="0.25">
      <c r="A70" s="301" t="s">
        <v>27</v>
      </c>
      <c r="B70" s="566" t="s">
        <v>615</v>
      </c>
      <c r="C70" s="567"/>
      <c r="D70" s="567"/>
      <c r="E70" s="567"/>
      <c r="F70" s="568"/>
      <c r="G70" s="465">
        <v>20200163.239999998</v>
      </c>
      <c r="H70" s="466"/>
      <c r="I70" s="460">
        <f>G70*22%-10982+10532.7</f>
        <v>4443586.6128000002</v>
      </c>
      <c r="J70" s="461"/>
      <c r="K70" s="339"/>
    </row>
    <row r="71" spans="1:11" s="41" customFormat="1" x14ac:dyDescent="0.25">
      <c r="A71" s="301" t="s">
        <v>27</v>
      </c>
      <c r="B71" s="566" t="s">
        <v>616</v>
      </c>
      <c r="C71" s="567"/>
      <c r="D71" s="567"/>
      <c r="E71" s="567"/>
      <c r="F71" s="568"/>
      <c r="G71" s="465">
        <v>260000</v>
      </c>
      <c r="H71" s="466"/>
      <c r="I71" s="460">
        <f>G71*22%+500-98+1278</f>
        <v>58880</v>
      </c>
      <c r="J71" s="461"/>
      <c r="K71" s="339"/>
    </row>
    <row r="72" spans="1:11" x14ac:dyDescent="0.25">
      <c r="A72" s="301" t="s">
        <v>29</v>
      </c>
      <c r="B72" s="455" t="s">
        <v>30</v>
      </c>
      <c r="C72" s="456"/>
      <c r="D72" s="456"/>
      <c r="E72" s="456"/>
      <c r="F72" s="457"/>
      <c r="G72" s="458"/>
      <c r="H72" s="459"/>
      <c r="I72" s="460"/>
      <c r="J72" s="461"/>
    </row>
    <row r="73" spans="1:11" ht="30" customHeight="1" x14ac:dyDescent="0.25">
      <c r="A73" s="301" t="s">
        <v>31</v>
      </c>
      <c r="B73" s="462" t="s">
        <v>32</v>
      </c>
      <c r="C73" s="463"/>
      <c r="D73" s="463"/>
      <c r="E73" s="463"/>
      <c r="F73" s="464"/>
      <c r="G73" s="458"/>
      <c r="H73" s="459"/>
      <c r="I73" s="460"/>
      <c r="J73" s="461"/>
    </row>
    <row r="74" spans="1:11" ht="30.75" customHeight="1" x14ac:dyDescent="0.25">
      <c r="A74" s="298" t="s">
        <v>75</v>
      </c>
      <c r="B74" s="472" t="s">
        <v>617</v>
      </c>
      <c r="C74" s="473"/>
      <c r="D74" s="473"/>
      <c r="E74" s="473"/>
      <c r="F74" s="474"/>
      <c r="G74" s="475" t="s">
        <v>14</v>
      </c>
      <c r="H74" s="476"/>
      <c r="I74" s="443">
        <f>I77+I80</f>
        <v>626205.06043999991</v>
      </c>
      <c r="J74" s="444"/>
    </row>
    <row r="75" spans="1:11" ht="29.25" customHeight="1" x14ac:dyDescent="0.25">
      <c r="A75" s="298" t="s">
        <v>75</v>
      </c>
      <c r="B75" s="472" t="s">
        <v>618</v>
      </c>
      <c r="C75" s="473"/>
      <c r="D75" s="473"/>
      <c r="E75" s="473"/>
      <c r="F75" s="474"/>
      <c r="G75" s="475" t="s">
        <v>14</v>
      </c>
      <c r="H75" s="476"/>
      <c r="I75" s="443">
        <f>I78+I81</f>
        <v>8059.9999999999991</v>
      </c>
      <c r="J75" s="444"/>
    </row>
    <row r="76" spans="1:11" x14ac:dyDescent="0.25">
      <c r="A76" s="102"/>
      <c r="B76" s="496" t="s">
        <v>9</v>
      </c>
      <c r="C76" s="504"/>
      <c r="D76" s="504"/>
      <c r="E76" s="504"/>
      <c r="F76" s="497"/>
      <c r="G76" s="458"/>
      <c r="H76" s="459"/>
      <c r="I76" s="460"/>
      <c r="J76" s="461"/>
    </row>
    <row r="77" spans="1:11" ht="28.5" customHeight="1" x14ac:dyDescent="0.25">
      <c r="A77" s="301" t="s">
        <v>34</v>
      </c>
      <c r="B77" s="462" t="s">
        <v>619</v>
      </c>
      <c r="C77" s="463"/>
      <c r="D77" s="463"/>
      <c r="E77" s="463"/>
      <c r="F77" s="464"/>
      <c r="G77" s="465">
        <f>G70</f>
        <v>20200163.239999998</v>
      </c>
      <c r="H77" s="466"/>
      <c r="I77" s="460">
        <f>G77*2.9%</f>
        <v>585804.73395999987</v>
      </c>
      <c r="J77" s="461"/>
    </row>
    <row r="78" spans="1:11" ht="32.25" customHeight="1" x14ac:dyDescent="0.25">
      <c r="A78" s="301" t="s">
        <v>34</v>
      </c>
      <c r="B78" s="462" t="s">
        <v>620</v>
      </c>
      <c r="C78" s="463"/>
      <c r="D78" s="463"/>
      <c r="E78" s="463"/>
      <c r="F78" s="464"/>
      <c r="G78" s="465">
        <f>G71</f>
        <v>260000</v>
      </c>
      <c r="H78" s="466"/>
      <c r="I78" s="460">
        <f>G78*2.9%</f>
        <v>7539.9999999999991</v>
      </c>
      <c r="J78" s="461"/>
    </row>
    <row r="79" spans="1:11" ht="28.5" customHeight="1" x14ac:dyDescent="0.25">
      <c r="A79" s="301" t="s">
        <v>36</v>
      </c>
      <c r="B79" s="462" t="s">
        <v>37</v>
      </c>
      <c r="C79" s="463"/>
      <c r="D79" s="463"/>
      <c r="E79" s="463"/>
      <c r="F79" s="464"/>
      <c r="G79" s="458"/>
      <c r="H79" s="459"/>
      <c r="I79" s="460"/>
      <c r="J79" s="461"/>
    </row>
    <row r="80" spans="1:11" ht="31.5" customHeight="1" x14ac:dyDescent="0.25">
      <c r="A80" s="301" t="s">
        <v>38</v>
      </c>
      <c r="B80" s="462" t="s">
        <v>621</v>
      </c>
      <c r="C80" s="463"/>
      <c r="D80" s="463"/>
      <c r="E80" s="463"/>
      <c r="F80" s="464"/>
      <c r="G80" s="465">
        <f>G70</f>
        <v>20200163.239999998</v>
      </c>
      <c r="H80" s="466"/>
      <c r="I80" s="460">
        <f>G80*0.2%</f>
        <v>40400.326479999996</v>
      </c>
      <c r="J80" s="461"/>
    </row>
    <row r="81" spans="1:12" ht="29.25" customHeight="1" x14ac:dyDescent="0.25">
      <c r="A81" s="301" t="s">
        <v>38</v>
      </c>
      <c r="B81" s="462" t="s">
        <v>622</v>
      </c>
      <c r="C81" s="463"/>
      <c r="D81" s="463"/>
      <c r="E81" s="463"/>
      <c r="F81" s="464"/>
      <c r="G81" s="465">
        <f>G71</f>
        <v>260000</v>
      </c>
      <c r="H81" s="466"/>
      <c r="I81" s="460">
        <f>G81*0.2%</f>
        <v>520</v>
      </c>
      <c r="J81" s="461"/>
    </row>
    <row r="82" spans="1:12" s="41" customFormat="1" ht="33.75" customHeight="1" x14ac:dyDescent="0.25">
      <c r="A82" s="301" t="s">
        <v>40</v>
      </c>
      <c r="B82" s="462" t="s">
        <v>41</v>
      </c>
      <c r="C82" s="463"/>
      <c r="D82" s="463"/>
      <c r="E82" s="463"/>
      <c r="F82" s="464"/>
      <c r="G82" s="458"/>
      <c r="H82" s="459"/>
      <c r="I82" s="460"/>
      <c r="J82" s="461"/>
    </row>
    <row r="83" spans="1:12" ht="27" customHeight="1" x14ac:dyDescent="0.25">
      <c r="A83" s="301" t="s">
        <v>42</v>
      </c>
      <c r="B83" s="462" t="s">
        <v>41</v>
      </c>
      <c r="C83" s="463"/>
      <c r="D83" s="463"/>
      <c r="E83" s="463"/>
      <c r="F83" s="464"/>
      <c r="G83" s="458"/>
      <c r="H83" s="459"/>
      <c r="I83" s="460"/>
      <c r="J83" s="461"/>
    </row>
    <row r="84" spans="1:12" ht="29.25" customHeight="1" x14ac:dyDescent="0.25">
      <c r="A84" s="298" t="s">
        <v>77</v>
      </c>
      <c r="B84" s="472" t="s">
        <v>623</v>
      </c>
      <c r="C84" s="473"/>
      <c r="D84" s="473"/>
      <c r="E84" s="473"/>
      <c r="F84" s="474"/>
      <c r="G84" s="493">
        <f>G70</f>
        <v>20200163.239999998</v>
      </c>
      <c r="H84" s="494"/>
      <c r="I84" s="443">
        <f>G84*5.1%</f>
        <v>1030208.3252399998</v>
      </c>
      <c r="J84" s="444"/>
    </row>
    <row r="85" spans="1:12" ht="29.25" customHeight="1" x14ac:dyDescent="0.25">
      <c r="A85" s="298" t="s">
        <v>77</v>
      </c>
      <c r="B85" s="472" t="s">
        <v>624</v>
      </c>
      <c r="C85" s="473"/>
      <c r="D85" s="473"/>
      <c r="E85" s="473"/>
      <c r="F85" s="474"/>
      <c r="G85" s="493">
        <f>G71</f>
        <v>260000</v>
      </c>
      <c r="H85" s="494"/>
      <c r="I85" s="443">
        <f>G85*5.1%</f>
        <v>13260</v>
      </c>
      <c r="J85" s="444"/>
    </row>
    <row r="86" spans="1:12" x14ac:dyDescent="0.25">
      <c r="A86" s="301"/>
      <c r="B86" s="448" t="s">
        <v>625</v>
      </c>
      <c r="C86" s="449"/>
      <c r="D86" s="449"/>
      <c r="E86" s="449"/>
      <c r="F86" s="450"/>
      <c r="G86" s="451" t="s">
        <v>14</v>
      </c>
      <c r="H86" s="452"/>
      <c r="I86" s="453">
        <f>I67+I74+I84</f>
        <v>6099999.9984800005</v>
      </c>
      <c r="J86" s="454"/>
    </row>
    <row r="87" spans="1:12" x14ac:dyDescent="0.25">
      <c r="A87" s="301"/>
      <c r="B87" s="448" t="s">
        <v>626</v>
      </c>
      <c r="C87" s="449"/>
      <c r="D87" s="449"/>
      <c r="E87" s="449"/>
      <c r="F87" s="450"/>
      <c r="G87" s="451" t="s">
        <v>14</v>
      </c>
      <c r="H87" s="452"/>
      <c r="I87" s="453">
        <f>I68+I75+I85</f>
        <v>80200</v>
      </c>
      <c r="J87" s="454"/>
    </row>
    <row r="88" spans="1:12" s="41" customFormat="1" x14ac:dyDescent="0.25">
      <c r="A88" s="113"/>
      <c r="B88" s="445" t="s">
        <v>512</v>
      </c>
      <c r="C88" s="445"/>
      <c r="D88" s="445"/>
      <c r="E88" s="445"/>
      <c r="F88" s="445"/>
      <c r="G88" s="446" t="s">
        <v>14</v>
      </c>
      <c r="H88" s="446"/>
      <c r="I88" s="447">
        <f>I86+I87</f>
        <v>6180199.9984800005</v>
      </c>
      <c r="J88" s="447"/>
      <c r="K88" s="495"/>
      <c r="L88" s="495"/>
    </row>
    <row r="89" spans="1:12" s="41" customFormat="1" ht="12.75" x14ac:dyDescent="0.2">
      <c r="A89" s="488" t="s">
        <v>502</v>
      </c>
      <c r="B89" s="488"/>
      <c r="C89" s="488"/>
      <c r="D89" s="488"/>
      <c r="E89" s="488"/>
      <c r="F89" s="488"/>
      <c r="G89" s="488"/>
      <c r="H89" s="488"/>
      <c r="I89" s="488"/>
      <c r="J89" s="488"/>
    </row>
    <row r="90" spans="1:12" ht="15.75" x14ac:dyDescent="0.25">
      <c r="A90" s="489" t="s">
        <v>378</v>
      </c>
      <c r="B90" s="489"/>
      <c r="C90" s="489"/>
      <c r="D90" s="489"/>
      <c r="E90" s="489"/>
      <c r="F90" s="489"/>
      <c r="G90" s="489"/>
      <c r="H90" s="489"/>
      <c r="I90" s="489"/>
      <c r="J90" s="489"/>
      <c r="K90" s="11"/>
      <c r="L90" s="11"/>
    </row>
    <row r="91" spans="1:12" ht="15.75" x14ac:dyDescent="0.25">
      <c r="A91" s="92" t="s">
        <v>80</v>
      </c>
      <c r="B91" s="93"/>
      <c r="C91" s="97">
        <v>321</v>
      </c>
      <c r="D91" s="97"/>
      <c r="E91" s="97"/>
      <c r="F91" s="98"/>
      <c r="G91" s="98"/>
      <c r="H91" s="98"/>
      <c r="I91" s="98"/>
      <c r="J91" s="98"/>
      <c r="K91" s="11"/>
      <c r="L91" s="11"/>
    </row>
    <row r="92" spans="1:12" ht="15.75" x14ac:dyDescent="0.25">
      <c r="A92" s="92" t="s">
        <v>81</v>
      </c>
      <c r="B92" s="93"/>
      <c r="C92" s="93"/>
      <c r="D92" s="93"/>
      <c r="E92" s="99"/>
      <c r="F92" s="100"/>
      <c r="G92" s="100"/>
      <c r="H92" s="100"/>
      <c r="I92" s="100"/>
      <c r="J92" s="100"/>
      <c r="K92" s="11"/>
      <c r="L92" s="11"/>
    </row>
    <row r="93" spans="1:12" ht="25.5" x14ac:dyDescent="0.25">
      <c r="A93" s="288" t="s">
        <v>1</v>
      </c>
      <c r="B93" s="490" t="s">
        <v>44</v>
      </c>
      <c r="C93" s="491"/>
      <c r="D93" s="492"/>
      <c r="E93" s="490" t="s">
        <v>45</v>
      </c>
      <c r="F93" s="492"/>
      <c r="G93" s="490" t="s">
        <v>46</v>
      </c>
      <c r="H93" s="492"/>
      <c r="I93" s="490" t="s">
        <v>102</v>
      </c>
      <c r="J93" s="492"/>
      <c r="K93" s="11"/>
      <c r="L93" s="11"/>
    </row>
    <row r="94" spans="1:12" x14ac:dyDescent="0.25">
      <c r="A94" s="288">
        <v>1</v>
      </c>
      <c r="B94" s="490">
        <v>2</v>
      </c>
      <c r="C94" s="491"/>
      <c r="D94" s="492"/>
      <c r="E94" s="490">
        <v>3</v>
      </c>
      <c r="F94" s="492"/>
      <c r="G94" s="490">
        <v>4</v>
      </c>
      <c r="H94" s="492"/>
      <c r="I94" s="490">
        <v>5</v>
      </c>
      <c r="J94" s="492"/>
      <c r="K94" s="11"/>
      <c r="L94" s="11"/>
    </row>
    <row r="95" spans="1:12" x14ac:dyDescent="0.25">
      <c r="A95" s="299"/>
      <c r="B95" s="448" t="s">
        <v>13</v>
      </c>
      <c r="C95" s="449"/>
      <c r="D95" s="450"/>
      <c r="E95" s="451" t="s">
        <v>14</v>
      </c>
      <c r="F95" s="452"/>
      <c r="G95" s="451" t="s">
        <v>14</v>
      </c>
      <c r="H95" s="452"/>
      <c r="I95" s="451">
        <v>0</v>
      </c>
      <c r="J95" s="452"/>
    </row>
    <row r="96" spans="1:12" s="41" customFormat="1" ht="15.75" x14ac:dyDescent="0.25">
      <c r="A96" s="489" t="s">
        <v>364</v>
      </c>
      <c r="B96" s="489"/>
      <c r="C96" s="489"/>
      <c r="D96" s="489"/>
      <c r="E96" s="489"/>
      <c r="F96" s="489"/>
      <c r="G96" s="489"/>
      <c r="H96" s="489"/>
      <c r="I96" s="489"/>
      <c r="J96" s="489"/>
    </row>
    <row r="97" spans="1:12" s="41" customFormat="1" ht="15.75" x14ac:dyDescent="0.25">
      <c r="A97" s="92" t="s">
        <v>80</v>
      </c>
      <c r="B97" s="93"/>
      <c r="C97" s="97">
        <v>851</v>
      </c>
      <c r="D97" s="97">
        <v>852</v>
      </c>
      <c r="E97" s="97">
        <v>853</v>
      </c>
      <c r="F97" s="98"/>
      <c r="G97" s="98"/>
      <c r="H97" s="98"/>
      <c r="I97" s="98"/>
      <c r="J97" s="98"/>
      <c r="K97" s="42"/>
      <c r="L97" s="43"/>
    </row>
    <row r="98" spans="1:12" s="41" customFormat="1" ht="15.75" x14ac:dyDescent="0.25">
      <c r="A98" s="92" t="s">
        <v>81</v>
      </c>
      <c r="B98" s="93"/>
      <c r="C98" s="93"/>
      <c r="D98" s="93"/>
      <c r="E98" s="99"/>
      <c r="F98" s="100"/>
      <c r="G98" s="100"/>
      <c r="H98" s="100"/>
      <c r="I98" s="100"/>
      <c r="J98" s="100"/>
    </row>
    <row r="99" spans="1:12" ht="25.5" x14ac:dyDescent="0.25">
      <c r="A99" s="288" t="s">
        <v>1</v>
      </c>
      <c r="B99" s="402" t="s">
        <v>15</v>
      </c>
      <c r="C99" s="402"/>
      <c r="D99" s="402"/>
      <c r="E99" s="402" t="s">
        <v>47</v>
      </c>
      <c r="F99" s="402"/>
      <c r="G99" s="402" t="s">
        <v>48</v>
      </c>
      <c r="H99" s="402"/>
      <c r="I99" s="402" t="s">
        <v>103</v>
      </c>
      <c r="J99" s="402"/>
    </row>
    <row r="100" spans="1:12" x14ac:dyDescent="0.25">
      <c r="A100" s="288">
        <v>1</v>
      </c>
      <c r="B100" s="402">
        <v>2</v>
      </c>
      <c r="C100" s="402"/>
      <c r="D100" s="402"/>
      <c r="E100" s="402">
        <v>3</v>
      </c>
      <c r="F100" s="402"/>
      <c r="G100" s="402">
        <v>4</v>
      </c>
      <c r="H100" s="402"/>
      <c r="I100" s="402">
        <v>5</v>
      </c>
      <c r="J100" s="402"/>
    </row>
    <row r="101" spans="1:12" x14ac:dyDescent="0.25">
      <c r="A101" s="299"/>
      <c r="B101" s="507" t="s">
        <v>13</v>
      </c>
      <c r="C101" s="507"/>
      <c r="D101" s="507"/>
      <c r="E101" s="508" t="s">
        <v>74</v>
      </c>
      <c r="F101" s="508"/>
      <c r="G101" s="508" t="s">
        <v>14</v>
      </c>
      <c r="H101" s="508"/>
      <c r="I101" s="509"/>
      <c r="J101" s="508"/>
    </row>
    <row r="102" spans="1:12" ht="15.75" x14ac:dyDescent="0.25">
      <c r="A102" s="489" t="s">
        <v>85</v>
      </c>
      <c r="B102" s="489"/>
      <c r="C102" s="489"/>
      <c r="D102" s="489"/>
      <c r="E102" s="489"/>
      <c r="F102" s="489"/>
      <c r="G102" s="489"/>
      <c r="H102" s="489"/>
      <c r="I102" s="489"/>
      <c r="J102" s="489"/>
      <c r="K102" s="495"/>
      <c r="L102" s="495"/>
    </row>
    <row r="103" spans="1:12" s="41" customFormat="1" ht="15.75" x14ac:dyDescent="0.25">
      <c r="A103" s="92" t="s">
        <v>80</v>
      </c>
      <c r="B103" s="93"/>
      <c r="C103" s="97"/>
      <c r="D103" s="97"/>
      <c r="E103" s="97"/>
      <c r="F103" s="98"/>
      <c r="G103" s="98"/>
      <c r="H103" s="98"/>
      <c r="I103" s="98"/>
      <c r="J103" s="98"/>
      <c r="K103" s="42"/>
      <c r="L103" s="43"/>
    </row>
    <row r="104" spans="1:12" s="41" customFormat="1" ht="15.75" x14ac:dyDescent="0.25">
      <c r="A104" s="92" t="s">
        <v>81</v>
      </c>
      <c r="B104" s="93"/>
      <c r="C104" s="93"/>
      <c r="D104" s="93"/>
      <c r="E104" s="99"/>
      <c r="F104" s="100"/>
      <c r="G104" s="100"/>
      <c r="H104" s="100"/>
      <c r="I104" s="100"/>
      <c r="J104" s="100"/>
    </row>
    <row r="105" spans="1:12" ht="25.5" x14ac:dyDescent="0.25">
      <c r="A105" s="288" t="s">
        <v>1</v>
      </c>
      <c r="B105" s="402" t="s">
        <v>44</v>
      </c>
      <c r="C105" s="402"/>
      <c r="D105" s="402"/>
      <c r="E105" s="402" t="s">
        <v>45</v>
      </c>
      <c r="F105" s="402"/>
      <c r="G105" s="402" t="s">
        <v>46</v>
      </c>
      <c r="H105" s="402"/>
      <c r="I105" s="402" t="s">
        <v>102</v>
      </c>
      <c r="J105" s="402"/>
      <c r="K105" s="11"/>
      <c r="L105" s="11"/>
    </row>
    <row r="106" spans="1:12" x14ac:dyDescent="0.25">
      <c r="A106" s="288">
        <v>1</v>
      </c>
      <c r="B106" s="402">
        <v>2</v>
      </c>
      <c r="C106" s="402"/>
      <c r="D106" s="402"/>
      <c r="E106" s="402">
        <v>3</v>
      </c>
      <c r="F106" s="402"/>
      <c r="G106" s="402">
        <v>4</v>
      </c>
      <c r="H106" s="402"/>
      <c r="I106" s="402">
        <v>5</v>
      </c>
      <c r="J106" s="402"/>
      <c r="K106" s="311"/>
      <c r="L106" s="312"/>
    </row>
    <row r="107" spans="1:12" x14ac:dyDescent="0.25">
      <c r="A107" s="301"/>
      <c r="B107" s="496"/>
      <c r="C107" s="504"/>
      <c r="D107" s="497"/>
      <c r="E107" s="496"/>
      <c r="F107" s="497"/>
      <c r="G107" s="496"/>
      <c r="H107" s="497"/>
      <c r="I107" s="496"/>
      <c r="J107" s="497"/>
      <c r="K107" s="11"/>
      <c r="L107" s="11"/>
    </row>
    <row r="108" spans="1:12" x14ac:dyDescent="0.25">
      <c r="A108" s="299"/>
      <c r="B108" s="507" t="s">
        <v>13</v>
      </c>
      <c r="C108" s="507"/>
      <c r="D108" s="507"/>
      <c r="E108" s="508" t="s">
        <v>14</v>
      </c>
      <c r="F108" s="508"/>
      <c r="G108" s="508" t="s">
        <v>14</v>
      </c>
      <c r="H108" s="508"/>
      <c r="I108" s="508"/>
      <c r="J108" s="508"/>
      <c r="K108" s="11"/>
      <c r="L108" s="11"/>
    </row>
    <row r="109" spans="1:12" ht="15.75" x14ac:dyDescent="0.25">
      <c r="A109" s="433" t="s">
        <v>91</v>
      </c>
      <c r="B109" s="433"/>
      <c r="C109" s="433"/>
      <c r="D109" s="433"/>
      <c r="E109" s="433"/>
      <c r="F109" s="433"/>
      <c r="G109" s="433"/>
      <c r="H109" s="433"/>
      <c r="I109" s="433"/>
      <c r="J109" s="433"/>
      <c r="K109" s="11"/>
      <c r="L109" s="11"/>
    </row>
    <row r="110" spans="1:12" ht="15.75" x14ac:dyDescent="0.25">
      <c r="A110" s="92" t="s">
        <v>80</v>
      </c>
      <c r="B110" s="93"/>
      <c r="C110" s="97"/>
      <c r="D110" s="97"/>
      <c r="E110" s="97"/>
      <c r="F110" s="98"/>
      <c r="G110" s="98"/>
      <c r="H110" s="98"/>
      <c r="I110" s="98"/>
      <c r="J110" s="98"/>
      <c r="K110" s="11"/>
      <c r="L110" s="11"/>
    </row>
    <row r="111" spans="1:12" ht="15.75" x14ac:dyDescent="0.25">
      <c r="A111" s="92" t="s">
        <v>81</v>
      </c>
      <c r="B111" s="93"/>
      <c r="C111" s="93"/>
      <c r="D111" s="93"/>
      <c r="E111" s="99"/>
      <c r="F111" s="100"/>
      <c r="G111" s="99"/>
      <c r="H111" s="100"/>
      <c r="I111" s="100"/>
      <c r="J111" s="100"/>
      <c r="K111" s="11"/>
      <c r="L111" s="11"/>
    </row>
    <row r="112" spans="1:12" ht="25.5" x14ac:dyDescent="0.25">
      <c r="A112" s="288" t="s">
        <v>1</v>
      </c>
      <c r="B112" s="402" t="s">
        <v>44</v>
      </c>
      <c r="C112" s="402"/>
      <c r="D112" s="402"/>
      <c r="E112" s="402" t="s">
        <v>45</v>
      </c>
      <c r="F112" s="402"/>
      <c r="G112" s="402" t="s">
        <v>46</v>
      </c>
      <c r="H112" s="402"/>
      <c r="I112" s="402" t="s">
        <v>102</v>
      </c>
      <c r="J112" s="402"/>
      <c r="K112" s="186"/>
      <c r="L112" s="11"/>
    </row>
    <row r="113" spans="1:14" x14ac:dyDescent="0.25">
      <c r="A113" s="288">
        <v>1</v>
      </c>
      <c r="B113" s="402">
        <v>2</v>
      </c>
      <c r="C113" s="402"/>
      <c r="D113" s="402"/>
      <c r="E113" s="402">
        <v>3</v>
      </c>
      <c r="F113" s="402"/>
      <c r="G113" s="402">
        <v>4</v>
      </c>
      <c r="H113" s="402"/>
      <c r="I113" s="402">
        <v>5</v>
      </c>
      <c r="J113" s="402"/>
      <c r="K113" s="11"/>
      <c r="L113" s="11"/>
    </row>
    <row r="114" spans="1:14" x14ac:dyDescent="0.25">
      <c r="A114" s="301"/>
      <c r="B114" s="496"/>
      <c r="C114" s="504"/>
      <c r="D114" s="497"/>
      <c r="E114" s="496"/>
      <c r="F114" s="497"/>
      <c r="G114" s="496"/>
      <c r="H114" s="497"/>
      <c r="I114" s="496"/>
      <c r="J114" s="497"/>
      <c r="K114" s="11"/>
      <c r="L114" s="187"/>
    </row>
    <row r="115" spans="1:14" x14ac:dyDescent="0.25">
      <c r="A115" s="301"/>
      <c r="B115" s="507" t="s">
        <v>13</v>
      </c>
      <c r="C115" s="507"/>
      <c r="D115" s="507"/>
      <c r="E115" s="508" t="s">
        <v>14</v>
      </c>
      <c r="F115" s="508"/>
      <c r="G115" s="508" t="s">
        <v>14</v>
      </c>
      <c r="H115" s="508"/>
      <c r="I115" s="508"/>
      <c r="J115" s="508"/>
      <c r="K115" s="11"/>
      <c r="L115" s="11"/>
      <c r="M115" s="14"/>
    </row>
    <row r="116" spans="1:14" ht="15.75" x14ac:dyDescent="0.25">
      <c r="A116" s="433" t="s">
        <v>49</v>
      </c>
      <c r="B116" s="433"/>
      <c r="C116" s="433"/>
      <c r="D116" s="433"/>
      <c r="E116" s="433"/>
      <c r="F116" s="433"/>
      <c r="G116" s="433"/>
      <c r="H116" s="433"/>
      <c r="I116" s="433"/>
      <c r="J116" s="433"/>
      <c r="K116" s="11"/>
      <c r="L116" s="11"/>
      <c r="M116" s="14"/>
    </row>
    <row r="117" spans="1:14" ht="15.75" x14ac:dyDescent="0.25">
      <c r="A117" s="92" t="s">
        <v>80</v>
      </c>
      <c r="B117" s="93"/>
      <c r="C117" s="97">
        <v>244</v>
      </c>
      <c r="D117" s="97"/>
      <c r="E117" s="97"/>
      <c r="F117" s="98"/>
      <c r="G117" s="98"/>
      <c r="H117" s="98"/>
      <c r="I117" s="98"/>
      <c r="J117" s="98"/>
      <c r="K117" s="11"/>
      <c r="L117" s="11"/>
      <c r="M117" s="14"/>
    </row>
    <row r="118" spans="1:14" ht="15.75" x14ac:dyDescent="0.25">
      <c r="A118" s="92" t="s">
        <v>81</v>
      </c>
      <c r="B118" s="93"/>
      <c r="C118" s="93"/>
      <c r="D118" s="93"/>
      <c r="E118" s="99"/>
      <c r="F118" s="100"/>
      <c r="G118" s="99"/>
      <c r="H118" s="100"/>
      <c r="I118" s="100"/>
      <c r="J118" s="100"/>
      <c r="K118" s="11"/>
      <c r="L118" s="11"/>
      <c r="M118" s="14"/>
    </row>
    <row r="119" spans="1:14" ht="15.75" x14ac:dyDescent="0.25">
      <c r="A119" s="433" t="s">
        <v>304</v>
      </c>
      <c r="B119" s="433"/>
      <c r="C119" s="433"/>
      <c r="D119" s="433"/>
      <c r="E119" s="433"/>
      <c r="F119" s="433"/>
      <c r="G119" s="433"/>
      <c r="H119" s="433"/>
      <c r="I119" s="433"/>
      <c r="J119" s="433"/>
      <c r="K119" s="11"/>
      <c r="L119" s="11"/>
      <c r="M119" s="14"/>
    </row>
    <row r="120" spans="1:14" ht="38.25" x14ac:dyDescent="0.25">
      <c r="A120" s="288" t="s">
        <v>1</v>
      </c>
      <c r="B120" s="402" t="s">
        <v>15</v>
      </c>
      <c r="C120" s="402"/>
      <c r="D120" s="402"/>
      <c r="E120" s="288" t="s">
        <v>50</v>
      </c>
      <c r="F120" s="288" t="s">
        <v>51</v>
      </c>
      <c r="G120" s="402" t="s">
        <v>52</v>
      </c>
      <c r="H120" s="402"/>
      <c r="I120" s="402" t="s">
        <v>104</v>
      </c>
      <c r="J120" s="402"/>
      <c r="K120" s="11"/>
      <c r="L120" s="11"/>
      <c r="M120" s="14"/>
    </row>
    <row r="121" spans="1:14" x14ac:dyDescent="0.25">
      <c r="A121" s="288">
        <v>1</v>
      </c>
      <c r="B121" s="402">
        <v>2</v>
      </c>
      <c r="C121" s="402"/>
      <c r="D121" s="402"/>
      <c r="E121" s="288">
        <v>3</v>
      </c>
      <c r="F121" s="288">
        <v>4</v>
      </c>
      <c r="G121" s="402">
        <v>5</v>
      </c>
      <c r="H121" s="402"/>
      <c r="I121" s="402">
        <v>6</v>
      </c>
      <c r="J121" s="402"/>
      <c r="K121" s="11"/>
      <c r="L121" s="11"/>
      <c r="M121" s="14"/>
    </row>
    <row r="122" spans="1:14" x14ac:dyDescent="0.25">
      <c r="A122" s="298">
        <v>1</v>
      </c>
      <c r="B122" s="498" t="s">
        <v>545</v>
      </c>
      <c r="C122" s="499"/>
      <c r="D122" s="500"/>
      <c r="E122" s="205" t="s">
        <v>74</v>
      </c>
      <c r="F122" s="205" t="s">
        <v>74</v>
      </c>
      <c r="G122" s="501" t="s">
        <v>74</v>
      </c>
      <c r="H122" s="501"/>
      <c r="I122" s="502">
        <f>I123+I124+I125</f>
        <v>72000</v>
      </c>
      <c r="J122" s="502"/>
      <c r="K122" s="11"/>
      <c r="L122" s="11"/>
      <c r="M122" s="14"/>
    </row>
    <row r="123" spans="1:14" x14ac:dyDescent="0.25">
      <c r="A123" s="301"/>
      <c r="B123" s="510" t="s">
        <v>547</v>
      </c>
      <c r="C123" s="510"/>
      <c r="D123" s="510"/>
      <c r="E123" s="301">
        <v>1</v>
      </c>
      <c r="F123" s="301">
        <v>10</v>
      </c>
      <c r="G123" s="513">
        <v>2000</v>
      </c>
      <c r="H123" s="513"/>
      <c r="I123" s="506">
        <f>F123*G123-2200</f>
        <v>17800</v>
      </c>
      <c r="J123" s="506"/>
      <c r="M123" s="14"/>
    </row>
    <row r="124" spans="1:14" ht="29.25" customHeight="1" x14ac:dyDescent="0.25">
      <c r="A124" s="301"/>
      <c r="B124" s="510" t="s">
        <v>96</v>
      </c>
      <c r="C124" s="510"/>
      <c r="D124" s="510"/>
      <c r="E124" s="301">
        <v>1</v>
      </c>
      <c r="F124" s="301">
        <v>1</v>
      </c>
      <c r="G124" s="511">
        <v>2400</v>
      </c>
      <c r="H124" s="511"/>
      <c r="I124" s="506">
        <f t="shared" ref="I124:I125" si="6">F124*G124</f>
        <v>2400</v>
      </c>
      <c r="J124" s="506"/>
      <c r="M124" s="14"/>
    </row>
    <row r="125" spans="1:14" x14ac:dyDescent="0.25">
      <c r="A125" s="301"/>
      <c r="B125" s="510" t="s">
        <v>548</v>
      </c>
      <c r="C125" s="510"/>
      <c r="D125" s="510"/>
      <c r="E125" s="301">
        <v>1</v>
      </c>
      <c r="F125" s="301">
        <v>7.4</v>
      </c>
      <c r="G125" s="511">
        <v>7000</v>
      </c>
      <c r="H125" s="511"/>
      <c r="I125" s="506">
        <f t="shared" si="6"/>
        <v>51800</v>
      </c>
      <c r="J125" s="506"/>
      <c r="M125" s="14"/>
    </row>
    <row r="126" spans="1:14" ht="16.5" customHeight="1" x14ac:dyDescent="0.25">
      <c r="A126" s="301"/>
      <c r="B126" s="507" t="s">
        <v>512</v>
      </c>
      <c r="C126" s="507"/>
      <c r="D126" s="507"/>
      <c r="E126" s="299" t="s">
        <v>14</v>
      </c>
      <c r="F126" s="299" t="s">
        <v>14</v>
      </c>
      <c r="G126" s="508" t="s">
        <v>14</v>
      </c>
      <c r="H126" s="508"/>
      <c r="I126" s="509">
        <f>I122</f>
        <v>72000</v>
      </c>
      <c r="J126" s="508"/>
      <c r="K126" s="146"/>
      <c r="N126" s="148"/>
    </row>
    <row r="127" spans="1:14" ht="15.75" x14ac:dyDescent="0.25">
      <c r="A127" s="101"/>
      <c r="B127" s="93"/>
      <c r="C127" s="93"/>
      <c r="D127" s="93"/>
      <c r="E127" s="93"/>
      <c r="F127" s="93"/>
      <c r="G127" s="93"/>
      <c r="H127" s="93"/>
      <c r="I127" s="93"/>
      <c r="J127" s="93"/>
      <c r="K127" s="14"/>
      <c r="M127" s="85"/>
    </row>
    <row r="128" spans="1:14" ht="15.75" x14ac:dyDescent="0.25">
      <c r="A128" s="433" t="s">
        <v>288</v>
      </c>
      <c r="B128" s="433"/>
      <c r="C128" s="433"/>
      <c r="D128" s="433"/>
      <c r="E128" s="433"/>
      <c r="F128" s="433"/>
      <c r="G128" s="433"/>
      <c r="H128" s="433"/>
      <c r="I128" s="433"/>
      <c r="J128" s="433"/>
      <c r="K128" s="14"/>
      <c r="M128" s="85"/>
    </row>
    <row r="129" spans="1:13" ht="15.75" customHeight="1" x14ac:dyDescent="0.25">
      <c r="A129" s="288" t="s">
        <v>1</v>
      </c>
      <c r="B129" s="402" t="s">
        <v>15</v>
      </c>
      <c r="C129" s="402"/>
      <c r="D129" s="402"/>
      <c r="E129" s="402" t="s">
        <v>53</v>
      </c>
      <c r="F129" s="402"/>
      <c r="G129" s="402" t="s">
        <v>54</v>
      </c>
      <c r="H129" s="402"/>
      <c r="I129" s="402" t="s">
        <v>264</v>
      </c>
      <c r="J129" s="402"/>
      <c r="K129" s="14"/>
      <c r="M129" s="85"/>
    </row>
    <row r="130" spans="1:13" ht="15" customHeight="1" x14ac:dyDescent="0.25">
      <c r="A130" s="288">
        <v>1</v>
      </c>
      <c r="B130" s="402">
        <v>2</v>
      </c>
      <c r="C130" s="402"/>
      <c r="D130" s="402"/>
      <c r="E130" s="402">
        <v>3</v>
      </c>
      <c r="F130" s="402"/>
      <c r="G130" s="402">
        <v>4</v>
      </c>
      <c r="H130" s="402"/>
      <c r="I130" s="402">
        <v>5</v>
      </c>
      <c r="J130" s="402"/>
      <c r="K130" s="14"/>
      <c r="M130" s="85"/>
    </row>
    <row r="131" spans="1:13" x14ac:dyDescent="0.25">
      <c r="A131" s="301"/>
      <c r="B131" s="414"/>
      <c r="C131" s="415"/>
      <c r="D131" s="416"/>
      <c r="E131" s="515"/>
      <c r="F131" s="515"/>
      <c r="G131" s="516"/>
      <c r="H131" s="516"/>
      <c r="I131" s="516">
        <f>E131*G131</f>
        <v>0</v>
      </c>
      <c r="J131" s="516"/>
      <c r="K131" s="14"/>
      <c r="M131" s="85"/>
    </row>
    <row r="132" spans="1:13" x14ac:dyDescent="0.25">
      <c r="A132" s="301"/>
      <c r="B132" s="507" t="s">
        <v>13</v>
      </c>
      <c r="C132" s="507"/>
      <c r="D132" s="507"/>
      <c r="E132" s="508" t="s">
        <v>74</v>
      </c>
      <c r="F132" s="508"/>
      <c r="G132" s="508" t="s">
        <v>74</v>
      </c>
      <c r="H132" s="508"/>
      <c r="I132" s="514">
        <f>I131</f>
        <v>0</v>
      </c>
      <c r="J132" s="508"/>
    </row>
    <row r="133" spans="1:13" ht="15.75" x14ac:dyDescent="0.25">
      <c r="A133" s="433" t="s">
        <v>284</v>
      </c>
      <c r="B133" s="433"/>
      <c r="C133" s="433"/>
      <c r="D133" s="433"/>
      <c r="E133" s="433"/>
      <c r="F133" s="433"/>
      <c r="G133" s="433"/>
      <c r="H133" s="433"/>
      <c r="I133" s="433"/>
      <c r="J133" s="433"/>
    </row>
    <row r="134" spans="1:13" s="41" customFormat="1" ht="38.25" x14ac:dyDescent="0.2">
      <c r="A134" s="288" t="s">
        <v>1</v>
      </c>
      <c r="B134" s="402" t="s">
        <v>44</v>
      </c>
      <c r="C134" s="402"/>
      <c r="D134" s="402"/>
      <c r="E134" s="288" t="s">
        <v>55</v>
      </c>
      <c r="F134" s="402" t="s">
        <v>56</v>
      </c>
      <c r="G134" s="402"/>
      <c r="H134" s="288" t="s">
        <v>57</v>
      </c>
      <c r="I134" s="402" t="s">
        <v>104</v>
      </c>
      <c r="J134" s="402"/>
    </row>
    <row r="135" spans="1:13" s="41" customFormat="1" ht="15.75" customHeight="1" x14ac:dyDescent="0.2">
      <c r="A135" s="288">
        <v>1</v>
      </c>
      <c r="B135" s="402">
        <v>2</v>
      </c>
      <c r="C135" s="402"/>
      <c r="D135" s="402"/>
      <c r="E135" s="288">
        <v>3</v>
      </c>
      <c r="F135" s="402">
        <v>4</v>
      </c>
      <c r="G135" s="402"/>
      <c r="H135" s="288">
        <v>5</v>
      </c>
      <c r="I135" s="402">
        <v>6</v>
      </c>
      <c r="J135" s="402"/>
    </row>
    <row r="136" spans="1:13" ht="19.5" customHeight="1" x14ac:dyDescent="0.25">
      <c r="A136" s="298" t="s">
        <v>70</v>
      </c>
      <c r="B136" s="498" t="s">
        <v>633</v>
      </c>
      <c r="C136" s="499"/>
      <c r="D136" s="500"/>
      <c r="E136" s="103">
        <f>E137+E138</f>
        <v>275</v>
      </c>
      <c r="F136" s="519"/>
      <c r="G136" s="520"/>
      <c r="H136" s="104">
        <f>F138/F137-100%</f>
        <v>3.5000412984224072E-2</v>
      </c>
      <c r="I136" s="521">
        <f>I137+I138+14-14</f>
        <v>543000</v>
      </c>
      <c r="J136" s="522"/>
      <c r="K136" s="14"/>
    </row>
    <row r="137" spans="1:13" x14ac:dyDescent="0.25">
      <c r="A137" s="301"/>
      <c r="B137" s="515" t="s">
        <v>100</v>
      </c>
      <c r="C137" s="515"/>
      <c r="D137" s="515"/>
      <c r="E137" s="300">
        <v>150</v>
      </c>
      <c r="F137" s="517">
        <v>1937.12</v>
      </c>
      <c r="G137" s="518"/>
      <c r="H137" s="301"/>
      <c r="I137" s="506">
        <f>E137*F137+618</f>
        <v>291186</v>
      </c>
      <c r="J137" s="506"/>
      <c r="K137" s="191"/>
    </row>
    <row r="138" spans="1:13" ht="15" customHeight="1" x14ac:dyDescent="0.25">
      <c r="A138" s="301"/>
      <c r="B138" s="515" t="s">
        <v>101</v>
      </c>
      <c r="C138" s="515"/>
      <c r="D138" s="515"/>
      <c r="E138" s="300">
        <v>125</v>
      </c>
      <c r="F138" s="517">
        <v>2004.92</v>
      </c>
      <c r="G138" s="518"/>
      <c r="H138" s="301"/>
      <c r="I138" s="506">
        <f>E138*F138+1199</f>
        <v>251814</v>
      </c>
      <c r="J138" s="506"/>
      <c r="K138" s="191"/>
    </row>
    <row r="139" spans="1:13" x14ac:dyDescent="0.25">
      <c r="A139" s="298" t="s">
        <v>75</v>
      </c>
      <c r="B139" s="498" t="s">
        <v>634</v>
      </c>
      <c r="C139" s="499"/>
      <c r="D139" s="500"/>
      <c r="E139" s="103">
        <f>E140+E141</f>
        <v>750</v>
      </c>
      <c r="F139" s="519"/>
      <c r="G139" s="520"/>
      <c r="H139" s="104">
        <f>F141/F140-100%</f>
        <v>3.5040944581984368E-2</v>
      </c>
      <c r="I139" s="521">
        <f>I140+I141</f>
        <v>39592</v>
      </c>
      <c r="J139" s="522"/>
      <c r="K139" s="14"/>
    </row>
    <row r="140" spans="1:13" x14ac:dyDescent="0.25">
      <c r="A140" s="301"/>
      <c r="B140" s="515" t="s">
        <v>100</v>
      </c>
      <c r="C140" s="515"/>
      <c r="D140" s="515"/>
      <c r="E140" s="300">
        <v>350</v>
      </c>
      <c r="F140" s="517">
        <v>52.51</v>
      </c>
      <c r="G140" s="518"/>
      <c r="H140" s="301"/>
      <c r="I140" s="506">
        <f>E140*F140-544.9</f>
        <v>17833.599999999999</v>
      </c>
      <c r="J140" s="506"/>
      <c r="K140" s="191">
        <f>17833.6-I140</f>
        <v>0</v>
      </c>
    </row>
    <row r="141" spans="1:13" x14ac:dyDescent="0.25">
      <c r="A141" s="301"/>
      <c r="B141" s="515" t="s">
        <v>101</v>
      </c>
      <c r="C141" s="515"/>
      <c r="D141" s="515"/>
      <c r="E141" s="300">
        <v>400</v>
      </c>
      <c r="F141" s="517">
        <v>54.35</v>
      </c>
      <c r="G141" s="518"/>
      <c r="H141" s="301"/>
      <c r="I141" s="506">
        <f>E141*F141+18.4</f>
        <v>21758.400000000001</v>
      </c>
      <c r="J141" s="506"/>
      <c r="K141" s="14"/>
    </row>
    <row r="142" spans="1:13" x14ac:dyDescent="0.25">
      <c r="A142" s="298" t="s">
        <v>77</v>
      </c>
      <c r="B142" s="498" t="s">
        <v>635</v>
      </c>
      <c r="C142" s="499"/>
      <c r="D142" s="500"/>
      <c r="E142" s="103">
        <f>E143+E144</f>
        <v>750</v>
      </c>
      <c r="F142" s="519"/>
      <c r="G142" s="520"/>
      <c r="H142" s="104">
        <f>F144/F143-100%</f>
        <v>3.461841070023608E-2</v>
      </c>
      <c r="I142" s="521">
        <f>I143+I144</f>
        <v>48408</v>
      </c>
      <c r="J142" s="522"/>
    </row>
    <row r="143" spans="1:13" ht="21" x14ac:dyDescent="0.35">
      <c r="A143" s="301"/>
      <c r="B143" s="515" t="s">
        <v>100</v>
      </c>
      <c r="C143" s="515"/>
      <c r="D143" s="515"/>
      <c r="E143" s="300">
        <v>350</v>
      </c>
      <c r="F143" s="517">
        <v>63.55</v>
      </c>
      <c r="G143" s="518"/>
      <c r="H143" s="301"/>
      <c r="I143" s="506">
        <f>E143*F143+0.7</f>
        <v>22243.200000000001</v>
      </c>
      <c r="J143" s="506"/>
      <c r="K143" s="188"/>
    </row>
    <row r="144" spans="1:13" x14ac:dyDescent="0.25">
      <c r="A144" s="301"/>
      <c r="B144" s="515" t="s">
        <v>101</v>
      </c>
      <c r="C144" s="515"/>
      <c r="D144" s="515"/>
      <c r="E144" s="300">
        <v>400</v>
      </c>
      <c r="F144" s="517">
        <v>65.75</v>
      </c>
      <c r="G144" s="518"/>
      <c r="H144" s="301"/>
      <c r="I144" s="506">
        <f>E144*F144-135.2</f>
        <v>26164.799999999999</v>
      </c>
      <c r="J144" s="506"/>
      <c r="K144" s="15"/>
    </row>
    <row r="145" spans="1:11" x14ac:dyDescent="0.25">
      <c r="A145" s="298" t="s">
        <v>86</v>
      </c>
      <c r="B145" s="498" t="s">
        <v>636</v>
      </c>
      <c r="C145" s="499"/>
      <c r="D145" s="500"/>
      <c r="E145" s="112">
        <f>E146+E147</f>
        <v>99000</v>
      </c>
      <c r="F145" s="519"/>
      <c r="G145" s="520"/>
      <c r="H145" s="104">
        <f>F147/F146-100%</f>
        <v>0</v>
      </c>
      <c r="I145" s="521">
        <f>I146+I147</f>
        <v>642000</v>
      </c>
      <c r="J145" s="522"/>
      <c r="K145" s="14"/>
    </row>
    <row r="146" spans="1:11" x14ac:dyDescent="0.25">
      <c r="A146" s="301"/>
      <c r="B146" s="515" t="s">
        <v>100</v>
      </c>
      <c r="C146" s="515"/>
      <c r="D146" s="515"/>
      <c r="E146" s="306">
        <v>54000</v>
      </c>
      <c r="F146" s="517">
        <v>6.5</v>
      </c>
      <c r="G146" s="518"/>
      <c r="H146" s="301"/>
      <c r="I146" s="506">
        <f>E146*F146-600</f>
        <v>350400</v>
      </c>
      <c r="J146" s="506"/>
      <c r="K146" s="14"/>
    </row>
    <row r="147" spans="1:11" x14ac:dyDescent="0.25">
      <c r="A147" s="301"/>
      <c r="B147" s="515" t="s">
        <v>101</v>
      </c>
      <c r="C147" s="515"/>
      <c r="D147" s="515"/>
      <c r="E147" s="306">
        <v>45000</v>
      </c>
      <c r="F147" s="517">
        <v>6.5</v>
      </c>
      <c r="G147" s="518"/>
      <c r="H147" s="301"/>
      <c r="I147" s="506">
        <f>E147*F147-900</f>
        <v>291600</v>
      </c>
      <c r="J147" s="506"/>
    </row>
    <row r="148" spans="1:11" x14ac:dyDescent="0.25">
      <c r="A148" s="298" t="s">
        <v>87</v>
      </c>
      <c r="B148" s="498" t="s">
        <v>549</v>
      </c>
      <c r="C148" s="499"/>
      <c r="D148" s="500"/>
      <c r="E148" s="112"/>
      <c r="F148" s="519"/>
      <c r="G148" s="520"/>
      <c r="H148" s="104">
        <v>0</v>
      </c>
      <c r="I148" s="521">
        <v>100000</v>
      </c>
      <c r="J148" s="522"/>
      <c r="K148" s="148"/>
    </row>
    <row r="149" spans="1:11" x14ac:dyDescent="0.25">
      <c r="A149" s="298" t="s">
        <v>87</v>
      </c>
      <c r="B149" s="498" t="s">
        <v>627</v>
      </c>
      <c r="C149" s="499"/>
      <c r="D149" s="500"/>
      <c r="E149" s="112"/>
      <c r="F149" s="302"/>
      <c r="G149" s="303"/>
      <c r="H149" s="104"/>
      <c r="I149" s="698">
        <v>20000</v>
      </c>
      <c r="J149" s="699"/>
      <c r="K149" s="148"/>
    </row>
    <row r="150" spans="1:11" x14ac:dyDescent="0.25">
      <c r="A150" s="298" t="s">
        <v>628</v>
      </c>
      <c r="B150" s="498" t="s">
        <v>629</v>
      </c>
      <c r="C150" s="499"/>
      <c r="D150" s="500"/>
      <c r="E150" s="112"/>
      <c r="F150" s="302"/>
      <c r="G150" s="303"/>
      <c r="H150" s="104"/>
      <c r="I150" s="698">
        <v>100000</v>
      </c>
      <c r="J150" s="699"/>
      <c r="K150" s="148"/>
    </row>
    <row r="151" spans="1:11" x14ac:dyDescent="0.25">
      <c r="A151" s="298" t="s">
        <v>116</v>
      </c>
      <c r="B151" s="498" t="s">
        <v>630</v>
      </c>
      <c r="C151" s="499"/>
      <c r="D151" s="500"/>
      <c r="E151" s="112"/>
      <c r="F151" s="302"/>
      <c r="G151" s="303"/>
      <c r="H151" s="104"/>
      <c r="I151" s="698">
        <v>84000</v>
      </c>
      <c r="J151" s="699"/>
      <c r="K151" s="148"/>
    </row>
    <row r="152" spans="1:11" x14ac:dyDescent="0.25">
      <c r="A152" s="298" t="s">
        <v>117</v>
      </c>
      <c r="B152" s="498" t="s">
        <v>631</v>
      </c>
      <c r="C152" s="499"/>
      <c r="D152" s="500"/>
      <c r="E152" s="103">
        <f>E153</f>
        <v>7</v>
      </c>
      <c r="F152" s="519"/>
      <c r="G152" s="520"/>
      <c r="H152" s="104"/>
      <c r="I152" s="521">
        <f>I153</f>
        <v>14000</v>
      </c>
      <c r="J152" s="522"/>
      <c r="K152" s="14"/>
    </row>
    <row r="153" spans="1:11" x14ac:dyDescent="0.25">
      <c r="A153" s="301"/>
      <c r="B153" s="515" t="s">
        <v>101</v>
      </c>
      <c r="C153" s="515"/>
      <c r="D153" s="515"/>
      <c r="E153" s="300">
        <v>7</v>
      </c>
      <c r="F153" s="517">
        <v>2004.92</v>
      </c>
      <c r="G153" s="518"/>
      <c r="H153" s="301"/>
      <c r="I153" s="506">
        <f>E153*F153-34.44</f>
        <v>14000</v>
      </c>
      <c r="J153" s="506"/>
      <c r="K153" s="191"/>
    </row>
    <row r="154" spans="1:11" x14ac:dyDescent="0.25">
      <c r="A154" s="298" t="s">
        <v>118</v>
      </c>
      <c r="B154" s="498" t="s">
        <v>632</v>
      </c>
      <c r="C154" s="499"/>
      <c r="D154" s="500"/>
      <c r="E154" s="103" t="str">
        <f>E155</f>
        <v>x</v>
      </c>
      <c r="F154" s="519"/>
      <c r="G154" s="520"/>
      <c r="H154" s="104"/>
      <c r="I154" s="521">
        <v>6000</v>
      </c>
      <c r="J154" s="522"/>
      <c r="K154" s="191"/>
    </row>
    <row r="155" spans="1:11" x14ac:dyDescent="0.25">
      <c r="A155" s="301"/>
      <c r="B155" s="507" t="s">
        <v>625</v>
      </c>
      <c r="C155" s="507"/>
      <c r="D155" s="507"/>
      <c r="E155" s="299" t="s">
        <v>14</v>
      </c>
      <c r="F155" s="508" t="s">
        <v>14</v>
      </c>
      <c r="G155" s="508"/>
      <c r="H155" s="299" t="s">
        <v>14</v>
      </c>
      <c r="I155" s="509">
        <f>I136+I139+I142+I145+I149+I150+I151</f>
        <v>1477000</v>
      </c>
      <c r="J155" s="508"/>
    </row>
    <row r="156" spans="1:11" x14ac:dyDescent="0.25">
      <c r="A156" s="301"/>
      <c r="B156" s="507" t="s">
        <v>626</v>
      </c>
      <c r="C156" s="507"/>
      <c r="D156" s="507"/>
      <c r="E156" s="299" t="s">
        <v>14</v>
      </c>
      <c r="F156" s="508" t="s">
        <v>14</v>
      </c>
      <c r="G156" s="508"/>
      <c r="H156" s="299" t="s">
        <v>14</v>
      </c>
      <c r="I156" s="509">
        <f>I152+I154</f>
        <v>20000</v>
      </c>
      <c r="J156" s="508"/>
    </row>
    <row r="157" spans="1:11" s="41" customFormat="1" ht="15.75" x14ac:dyDescent="0.25">
      <c r="A157" s="433" t="s">
        <v>289</v>
      </c>
      <c r="B157" s="433"/>
      <c r="C157" s="433"/>
      <c r="D157" s="433"/>
      <c r="E157" s="433"/>
      <c r="F157" s="433"/>
      <c r="G157" s="433"/>
      <c r="H157" s="433"/>
      <c r="I157" s="433"/>
      <c r="J157" s="433"/>
    </row>
    <row r="158" spans="1:11" s="41" customFormat="1" ht="25.5" x14ac:dyDescent="0.2">
      <c r="A158" s="288" t="s">
        <v>1</v>
      </c>
      <c r="B158" s="402" t="s">
        <v>44</v>
      </c>
      <c r="C158" s="402"/>
      <c r="D158" s="402"/>
      <c r="E158" s="402" t="s">
        <v>58</v>
      </c>
      <c r="F158" s="402"/>
      <c r="G158" s="402" t="s">
        <v>59</v>
      </c>
      <c r="H158" s="402"/>
      <c r="I158" s="402" t="s">
        <v>60</v>
      </c>
      <c r="J158" s="402"/>
    </row>
    <row r="159" spans="1:11" x14ac:dyDescent="0.25">
      <c r="A159" s="288">
        <v>1</v>
      </c>
      <c r="B159" s="402">
        <v>2</v>
      </c>
      <c r="C159" s="402"/>
      <c r="D159" s="402"/>
      <c r="E159" s="402">
        <v>3</v>
      </c>
      <c r="F159" s="402"/>
      <c r="G159" s="402">
        <v>4</v>
      </c>
      <c r="H159" s="402"/>
      <c r="I159" s="402">
        <v>5</v>
      </c>
      <c r="J159" s="402"/>
      <c r="K159" s="15"/>
    </row>
    <row r="160" spans="1:11" x14ac:dyDescent="0.25">
      <c r="A160" s="299"/>
      <c r="B160" s="507" t="s">
        <v>13</v>
      </c>
      <c r="C160" s="507"/>
      <c r="D160" s="507"/>
      <c r="E160" s="508" t="s">
        <v>14</v>
      </c>
      <c r="F160" s="508"/>
      <c r="G160" s="508" t="s">
        <v>14</v>
      </c>
      <c r="H160" s="508"/>
      <c r="I160" s="508"/>
      <c r="J160" s="508"/>
    </row>
    <row r="161" spans="1:12" ht="15.75" x14ac:dyDescent="0.25">
      <c r="A161" s="433" t="s">
        <v>285</v>
      </c>
      <c r="B161" s="433"/>
      <c r="C161" s="433"/>
      <c r="D161" s="433"/>
      <c r="E161" s="433"/>
      <c r="F161" s="433"/>
      <c r="G161" s="433"/>
      <c r="H161" s="433"/>
      <c r="I161" s="433"/>
      <c r="J161" s="433"/>
    </row>
    <row r="162" spans="1:12" x14ac:dyDescent="0.25">
      <c r="A162" s="523" t="s">
        <v>1</v>
      </c>
      <c r="B162" s="525" t="s">
        <v>15</v>
      </c>
      <c r="C162" s="526"/>
      <c r="D162" s="527"/>
      <c r="E162" s="523" t="s">
        <v>61</v>
      </c>
      <c r="F162" s="523" t="s">
        <v>62</v>
      </c>
      <c r="G162" s="402" t="s">
        <v>63</v>
      </c>
      <c r="H162" s="402"/>
      <c r="I162" s="402"/>
      <c r="J162" s="402"/>
    </row>
    <row r="163" spans="1:12" ht="25.5" x14ac:dyDescent="0.25">
      <c r="A163" s="524"/>
      <c r="B163" s="528"/>
      <c r="C163" s="529"/>
      <c r="D163" s="530"/>
      <c r="E163" s="524"/>
      <c r="F163" s="524"/>
      <c r="G163" s="288" t="s">
        <v>308</v>
      </c>
      <c r="H163" s="288" t="s">
        <v>305</v>
      </c>
      <c r="I163" s="296" t="s">
        <v>306</v>
      </c>
      <c r="J163" s="288" t="s">
        <v>307</v>
      </c>
    </row>
    <row r="164" spans="1:12" x14ac:dyDescent="0.25">
      <c r="A164" s="288">
        <v>1</v>
      </c>
      <c r="B164" s="402">
        <v>2</v>
      </c>
      <c r="C164" s="402"/>
      <c r="D164" s="402"/>
      <c r="E164" s="288">
        <v>3</v>
      </c>
      <c r="F164" s="288">
        <v>4</v>
      </c>
      <c r="G164" s="490">
        <v>5</v>
      </c>
      <c r="H164" s="491"/>
      <c r="I164" s="491"/>
      <c r="J164" s="492"/>
    </row>
    <row r="165" spans="1:12" s="316" customFormat="1" ht="30" customHeight="1" x14ac:dyDescent="0.25">
      <c r="A165" s="291">
        <v>1</v>
      </c>
      <c r="B165" s="534" t="s">
        <v>550</v>
      </c>
      <c r="C165" s="534"/>
      <c r="D165" s="534"/>
      <c r="E165" s="218">
        <v>2</v>
      </c>
      <c r="F165" s="218">
        <v>1</v>
      </c>
      <c r="G165" s="291" t="s">
        <v>124</v>
      </c>
      <c r="H165" s="291">
        <v>10</v>
      </c>
      <c r="I165" s="313">
        <v>28400</v>
      </c>
      <c r="J165" s="314">
        <f>ROUND(H165*I165,0)+2053.54+3250</f>
        <v>289303.53999999998</v>
      </c>
      <c r="K165" s="315"/>
    </row>
    <row r="166" spans="1:12" s="318" customFormat="1" ht="30" customHeight="1" x14ac:dyDescent="0.25">
      <c r="A166" s="291">
        <v>2</v>
      </c>
      <c r="B166" s="538" t="s">
        <v>551</v>
      </c>
      <c r="C166" s="538"/>
      <c r="D166" s="538"/>
      <c r="E166" s="218">
        <v>2</v>
      </c>
      <c r="F166" s="218">
        <v>1</v>
      </c>
      <c r="G166" s="291" t="s">
        <v>124</v>
      </c>
      <c r="H166" s="291">
        <v>10</v>
      </c>
      <c r="I166" s="313">
        <v>12000</v>
      </c>
      <c r="J166" s="314">
        <f>ROUND(H166*I166,0)</f>
        <v>120000</v>
      </c>
      <c r="K166" s="317"/>
    </row>
    <row r="167" spans="1:12" s="316" customFormat="1" ht="30" customHeight="1" x14ac:dyDescent="0.25">
      <c r="A167" s="359">
        <v>3</v>
      </c>
      <c r="B167" s="710" t="s">
        <v>114</v>
      </c>
      <c r="C167" s="710"/>
      <c r="D167" s="710"/>
      <c r="E167" s="359">
        <v>3</v>
      </c>
      <c r="F167" s="359">
        <v>1</v>
      </c>
      <c r="G167" s="359" t="s">
        <v>124</v>
      </c>
      <c r="H167" s="359">
        <v>9</v>
      </c>
      <c r="I167" s="360">
        <v>14974.45</v>
      </c>
      <c r="J167" s="361">
        <f>ROUND(H167*I167,0)+0.46</f>
        <v>134770.46</v>
      </c>
      <c r="K167" s="315"/>
    </row>
    <row r="168" spans="1:12" s="316" customFormat="1" ht="31.5" customHeight="1" x14ac:dyDescent="0.25">
      <c r="A168" s="291">
        <v>4</v>
      </c>
      <c r="B168" s="538" t="s">
        <v>109</v>
      </c>
      <c r="C168" s="538"/>
      <c r="D168" s="538"/>
      <c r="E168" s="218">
        <v>1</v>
      </c>
      <c r="F168" s="218">
        <v>1</v>
      </c>
      <c r="G168" s="291" t="s">
        <v>124</v>
      </c>
      <c r="H168" s="291">
        <v>7</v>
      </c>
      <c r="I168" s="313">
        <v>750</v>
      </c>
      <c r="J168" s="314">
        <f>ROUND(H168*I168,0)</f>
        <v>5250</v>
      </c>
      <c r="K168" s="315"/>
      <c r="L168" s="362"/>
    </row>
    <row r="169" spans="1:12" s="316" customFormat="1" ht="30.75" customHeight="1" x14ac:dyDescent="0.25">
      <c r="A169" s="291">
        <v>5</v>
      </c>
      <c r="B169" s="538" t="s">
        <v>552</v>
      </c>
      <c r="C169" s="538"/>
      <c r="D169" s="538"/>
      <c r="E169" s="218">
        <v>1</v>
      </c>
      <c r="F169" s="218">
        <v>1</v>
      </c>
      <c r="G169" s="291" t="s">
        <v>124</v>
      </c>
      <c r="H169" s="291">
        <v>10</v>
      </c>
      <c r="I169" s="313">
        <v>750</v>
      </c>
      <c r="J169" s="314">
        <f>ROUND(H169*I169,0)</f>
        <v>7500</v>
      </c>
      <c r="K169" s="315"/>
    </row>
    <row r="170" spans="1:12" s="316" customFormat="1" ht="30" customHeight="1" x14ac:dyDescent="0.25">
      <c r="A170" s="291">
        <v>6</v>
      </c>
      <c r="B170" s="534" t="s">
        <v>553</v>
      </c>
      <c r="C170" s="534"/>
      <c r="D170" s="534"/>
      <c r="E170" s="218">
        <v>2</v>
      </c>
      <c r="F170" s="218">
        <v>1</v>
      </c>
      <c r="G170" s="291" t="s">
        <v>554</v>
      </c>
      <c r="H170" s="291">
        <v>3</v>
      </c>
      <c r="I170" s="313">
        <v>10000</v>
      </c>
      <c r="J170" s="314">
        <f t="shared" ref="J170:J172" si="7">ROUND(H170*I170,0)</f>
        <v>30000</v>
      </c>
      <c r="K170" s="315"/>
    </row>
    <row r="171" spans="1:12" s="320" customFormat="1" ht="30.75" customHeight="1" x14ac:dyDescent="0.25">
      <c r="A171" s="291">
        <v>7</v>
      </c>
      <c r="B171" s="534" t="s">
        <v>555</v>
      </c>
      <c r="C171" s="534"/>
      <c r="D171" s="534"/>
      <c r="E171" s="218">
        <v>1</v>
      </c>
      <c r="F171" s="218">
        <v>1</v>
      </c>
      <c r="G171" s="291" t="s">
        <v>556</v>
      </c>
      <c r="H171" s="291">
        <v>4</v>
      </c>
      <c r="I171" s="313">
        <v>6000</v>
      </c>
      <c r="J171" s="314">
        <f t="shared" si="7"/>
        <v>24000</v>
      </c>
      <c r="K171" s="319"/>
    </row>
    <row r="172" spans="1:12" s="316" customFormat="1" ht="27" customHeight="1" x14ac:dyDescent="0.25">
      <c r="A172" s="291">
        <v>8</v>
      </c>
      <c r="B172" s="534" t="s">
        <v>637</v>
      </c>
      <c r="C172" s="534"/>
      <c r="D172" s="534"/>
      <c r="E172" s="218">
        <v>2</v>
      </c>
      <c r="F172" s="218">
        <v>1</v>
      </c>
      <c r="G172" s="291" t="s">
        <v>554</v>
      </c>
      <c r="H172" s="291">
        <v>4</v>
      </c>
      <c r="I172" s="313">
        <v>4000</v>
      </c>
      <c r="J172" s="314">
        <f t="shared" si="7"/>
        <v>16000</v>
      </c>
      <c r="K172" s="315"/>
    </row>
    <row r="173" spans="1:12" s="316" customFormat="1" ht="30" customHeight="1" x14ac:dyDescent="0.25">
      <c r="A173" s="291">
        <v>9</v>
      </c>
      <c r="B173" s="534" t="s">
        <v>557</v>
      </c>
      <c r="C173" s="534"/>
      <c r="D173" s="534"/>
      <c r="E173" s="291">
        <v>1</v>
      </c>
      <c r="F173" s="291">
        <v>1</v>
      </c>
      <c r="G173" s="321" t="s">
        <v>124</v>
      </c>
      <c r="H173" s="291">
        <v>10</v>
      </c>
      <c r="I173" s="313">
        <v>7200</v>
      </c>
      <c r="J173" s="314">
        <f>ROUND(H173*I173,0)</f>
        <v>72000</v>
      </c>
      <c r="K173" s="315"/>
    </row>
    <row r="174" spans="1:12" s="316" customFormat="1" ht="19.5" customHeight="1" x14ac:dyDescent="0.25">
      <c r="A174" s="359">
        <v>10</v>
      </c>
      <c r="B174" s="710" t="s">
        <v>558</v>
      </c>
      <c r="C174" s="710"/>
      <c r="D174" s="710"/>
      <c r="E174" s="359">
        <v>1</v>
      </c>
      <c r="F174" s="359">
        <v>1</v>
      </c>
      <c r="G174" s="363" t="s">
        <v>124</v>
      </c>
      <c r="H174" s="359">
        <v>10</v>
      </c>
      <c r="I174" s="360">
        <v>1017.58</v>
      </c>
      <c r="J174" s="361">
        <f>ROUND(H174*I174,0)</f>
        <v>10176</v>
      </c>
      <c r="K174" s="315"/>
      <c r="L174" s="362"/>
    </row>
    <row r="175" spans="1:12" s="316" customFormat="1" x14ac:dyDescent="0.25">
      <c r="A175" s="291">
        <v>11</v>
      </c>
      <c r="B175" s="534" t="s">
        <v>559</v>
      </c>
      <c r="C175" s="534"/>
      <c r="D175" s="534"/>
      <c r="E175" s="291">
        <v>1</v>
      </c>
      <c r="F175" s="291">
        <v>1</v>
      </c>
      <c r="G175" s="321" t="s">
        <v>124</v>
      </c>
      <c r="H175" s="291">
        <v>10</v>
      </c>
      <c r="I175" s="313">
        <v>9900</v>
      </c>
      <c r="J175" s="314">
        <f>ROUND(H175*I175,0)</f>
        <v>99000</v>
      </c>
      <c r="K175" s="315"/>
    </row>
    <row r="176" spans="1:12" s="320" customFormat="1" x14ac:dyDescent="0.25">
      <c r="A176" s="291"/>
      <c r="B176" s="535" t="s">
        <v>638</v>
      </c>
      <c r="C176" s="535"/>
      <c r="D176" s="535"/>
      <c r="E176" s="291" t="s">
        <v>14</v>
      </c>
      <c r="F176" s="291"/>
      <c r="G176" s="536">
        <f>SUM(J165:J175)</f>
        <v>808000</v>
      </c>
      <c r="H176" s="537"/>
      <c r="I176" s="537"/>
      <c r="J176" s="537"/>
      <c r="K176" s="319"/>
    </row>
    <row r="177" spans="1:12" ht="15.75" x14ac:dyDescent="0.25">
      <c r="A177" s="433" t="s">
        <v>290</v>
      </c>
      <c r="B177" s="433"/>
      <c r="C177" s="433"/>
      <c r="D177" s="433"/>
      <c r="E177" s="433"/>
      <c r="F177" s="433"/>
      <c r="G177" s="433"/>
      <c r="H177" s="433"/>
      <c r="I177" s="433"/>
      <c r="J177" s="433"/>
    </row>
    <row r="178" spans="1:12" x14ac:dyDescent="0.25">
      <c r="A178" s="523" t="s">
        <v>1</v>
      </c>
      <c r="B178" s="525" t="s">
        <v>15</v>
      </c>
      <c r="C178" s="526"/>
      <c r="D178" s="527"/>
      <c r="E178" s="525" t="s">
        <v>64</v>
      </c>
      <c r="F178" s="527"/>
      <c r="G178" s="402" t="s">
        <v>65</v>
      </c>
      <c r="H178" s="402"/>
      <c r="I178" s="402"/>
      <c r="J178" s="402"/>
    </row>
    <row r="179" spans="1:12" ht="25.5" x14ac:dyDescent="0.25">
      <c r="A179" s="524"/>
      <c r="B179" s="528"/>
      <c r="C179" s="529"/>
      <c r="D179" s="530"/>
      <c r="E179" s="528"/>
      <c r="F179" s="530"/>
      <c r="G179" s="288" t="s">
        <v>308</v>
      </c>
      <c r="H179" s="288" t="s">
        <v>305</v>
      </c>
      <c r="I179" s="288" t="s">
        <v>306</v>
      </c>
      <c r="J179" s="288" t="s">
        <v>307</v>
      </c>
    </row>
    <row r="180" spans="1:12" x14ac:dyDescent="0.25">
      <c r="A180" s="288">
        <v>1</v>
      </c>
      <c r="B180" s="402">
        <v>2</v>
      </c>
      <c r="C180" s="402"/>
      <c r="D180" s="402"/>
      <c r="E180" s="490">
        <v>3</v>
      </c>
      <c r="F180" s="492"/>
      <c r="G180" s="402">
        <v>4</v>
      </c>
      <c r="H180" s="402"/>
      <c r="I180" s="402"/>
      <c r="J180" s="402"/>
    </row>
    <row r="181" spans="1:12" s="316" customFormat="1" x14ac:dyDescent="0.25">
      <c r="A181" s="359">
        <v>1</v>
      </c>
      <c r="B181" s="710" t="s">
        <v>560</v>
      </c>
      <c r="C181" s="710"/>
      <c r="D181" s="710"/>
      <c r="E181" s="696">
        <v>1</v>
      </c>
      <c r="F181" s="697"/>
      <c r="G181" s="359" t="s">
        <v>561</v>
      </c>
      <c r="H181" s="359">
        <v>13260.8</v>
      </c>
      <c r="I181" s="364">
        <v>130.15</v>
      </c>
      <c r="J181" s="361">
        <f>H181*I181</f>
        <v>1725893.1199999999</v>
      </c>
      <c r="K181" s="365"/>
    </row>
    <row r="182" spans="1:12" s="320" customFormat="1" ht="29.25" customHeight="1" x14ac:dyDescent="0.25">
      <c r="A182" s="359">
        <v>2</v>
      </c>
      <c r="B182" s="710" t="s">
        <v>562</v>
      </c>
      <c r="C182" s="710"/>
      <c r="D182" s="710"/>
      <c r="E182" s="696">
        <v>1</v>
      </c>
      <c r="F182" s="697"/>
      <c r="G182" s="359" t="s">
        <v>124</v>
      </c>
      <c r="H182" s="359">
        <v>10</v>
      </c>
      <c r="I182" s="364">
        <v>6708.23</v>
      </c>
      <c r="J182" s="361">
        <f>H182*I182</f>
        <v>67082.299999999988</v>
      </c>
      <c r="L182" s="366"/>
    </row>
    <row r="183" spans="1:12" s="320" customFormat="1" x14ac:dyDescent="0.25">
      <c r="A183" s="291">
        <v>3</v>
      </c>
      <c r="B183" s="534" t="s">
        <v>563</v>
      </c>
      <c r="C183" s="534"/>
      <c r="D183" s="534"/>
      <c r="E183" s="482">
        <v>1</v>
      </c>
      <c r="F183" s="483"/>
      <c r="G183" s="291" t="s">
        <v>561</v>
      </c>
      <c r="H183" s="291">
        <v>5036.8</v>
      </c>
      <c r="I183" s="331">
        <v>20</v>
      </c>
      <c r="J183" s="314">
        <f>H183*I183</f>
        <v>100736</v>
      </c>
    </row>
    <row r="184" spans="1:12" s="320" customFormat="1" x14ac:dyDescent="0.25">
      <c r="A184" s="291">
        <v>4</v>
      </c>
      <c r="B184" s="534" t="s">
        <v>564</v>
      </c>
      <c r="C184" s="534"/>
      <c r="D184" s="534"/>
      <c r="E184" s="482">
        <v>1</v>
      </c>
      <c r="F184" s="483"/>
      <c r="G184" s="291" t="s">
        <v>561</v>
      </c>
      <c r="H184" s="291">
        <v>1984</v>
      </c>
      <c r="I184" s="331">
        <v>10</v>
      </c>
      <c r="J184" s="314">
        <f t="shared" ref="J184:J188" si="8">H184*I184</f>
        <v>19840</v>
      </c>
    </row>
    <row r="185" spans="1:12" s="316" customFormat="1" ht="30" customHeight="1" x14ac:dyDescent="0.25">
      <c r="A185" s="359">
        <v>5</v>
      </c>
      <c r="B185" s="710" t="s">
        <v>565</v>
      </c>
      <c r="C185" s="710"/>
      <c r="D185" s="710"/>
      <c r="E185" s="696">
        <v>1</v>
      </c>
      <c r="F185" s="697"/>
      <c r="G185" s="359" t="s">
        <v>124</v>
      </c>
      <c r="H185" s="359">
        <v>10</v>
      </c>
      <c r="I185" s="364">
        <v>11366.67</v>
      </c>
      <c r="J185" s="361">
        <f>H185*I185-0.04</f>
        <v>113666.66</v>
      </c>
    </row>
    <row r="186" spans="1:12" s="316" customFormat="1" ht="30.75" customHeight="1" x14ac:dyDescent="0.25">
      <c r="A186" s="359">
        <v>6</v>
      </c>
      <c r="B186" s="710" t="s">
        <v>566</v>
      </c>
      <c r="C186" s="710"/>
      <c r="D186" s="710"/>
      <c r="E186" s="696">
        <v>1</v>
      </c>
      <c r="F186" s="697"/>
      <c r="G186" s="359" t="s">
        <v>124</v>
      </c>
      <c r="H186" s="359">
        <v>10</v>
      </c>
      <c r="I186" s="364">
        <v>2300</v>
      </c>
      <c r="J186" s="361">
        <f>H186*I186</f>
        <v>23000</v>
      </c>
    </row>
    <row r="187" spans="1:12" s="316" customFormat="1" ht="18.75" customHeight="1" x14ac:dyDescent="0.25">
      <c r="A187" s="291">
        <v>7</v>
      </c>
      <c r="B187" s="534" t="s">
        <v>137</v>
      </c>
      <c r="C187" s="534"/>
      <c r="D187" s="534"/>
      <c r="E187" s="482">
        <v>1</v>
      </c>
      <c r="F187" s="483"/>
      <c r="G187" s="291" t="s">
        <v>149</v>
      </c>
      <c r="H187" s="291">
        <v>52</v>
      </c>
      <c r="I187" s="331">
        <v>4000</v>
      </c>
      <c r="J187" s="314">
        <f>H187*I187+21.24-639.32</f>
        <v>207381.91999999998</v>
      </c>
    </row>
    <row r="188" spans="1:12" s="320" customFormat="1" x14ac:dyDescent="0.25">
      <c r="A188" s="291">
        <v>8</v>
      </c>
      <c r="B188" s="534" t="s">
        <v>138</v>
      </c>
      <c r="C188" s="534"/>
      <c r="D188" s="534"/>
      <c r="E188" s="482">
        <v>1</v>
      </c>
      <c r="F188" s="483"/>
      <c r="G188" s="291" t="s">
        <v>309</v>
      </c>
      <c r="H188" s="291">
        <v>1</v>
      </c>
      <c r="I188" s="331">
        <v>57000</v>
      </c>
      <c r="J188" s="314">
        <f t="shared" si="8"/>
        <v>57000</v>
      </c>
    </row>
    <row r="189" spans="1:12" s="320" customFormat="1" ht="28.5" customHeight="1" x14ac:dyDescent="0.25">
      <c r="A189" s="291">
        <v>9</v>
      </c>
      <c r="B189" s="534" t="s">
        <v>639</v>
      </c>
      <c r="C189" s="534"/>
      <c r="D189" s="534"/>
      <c r="E189" s="482">
        <v>1</v>
      </c>
      <c r="F189" s="483"/>
      <c r="G189" s="291" t="s">
        <v>149</v>
      </c>
      <c r="H189" s="291">
        <v>4</v>
      </c>
      <c r="I189" s="331">
        <v>2500</v>
      </c>
      <c r="J189" s="314">
        <f>I189*H189</f>
        <v>10000</v>
      </c>
    </row>
    <row r="190" spans="1:12" s="320" customFormat="1" x14ac:dyDescent="0.25">
      <c r="A190" s="291">
        <v>10</v>
      </c>
      <c r="B190" s="534" t="s">
        <v>140</v>
      </c>
      <c r="C190" s="534"/>
      <c r="D190" s="534"/>
      <c r="E190" s="482">
        <v>1</v>
      </c>
      <c r="F190" s="483"/>
      <c r="G190" s="291" t="s">
        <v>149</v>
      </c>
      <c r="H190" s="291">
        <v>8</v>
      </c>
      <c r="I190" s="331">
        <v>800</v>
      </c>
      <c r="J190" s="314">
        <f>H190*I190</f>
        <v>6400</v>
      </c>
    </row>
    <row r="191" spans="1:12" s="320" customFormat="1" x14ac:dyDescent="0.25">
      <c r="A191" s="291">
        <v>11</v>
      </c>
      <c r="B191" s="534" t="s">
        <v>567</v>
      </c>
      <c r="C191" s="534"/>
      <c r="D191" s="534"/>
      <c r="E191" s="482">
        <v>1</v>
      </c>
      <c r="F191" s="483"/>
      <c r="G191" s="291" t="s">
        <v>149</v>
      </c>
      <c r="H191" s="291">
        <v>1</v>
      </c>
      <c r="I191" s="331">
        <v>16000</v>
      </c>
      <c r="J191" s="314">
        <f>I191*H191</f>
        <v>16000</v>
      </c>
    </row>
    <row r="192" spans="1:12" s="320" customFormat="1" ht="30.75" customHeight="1" x14ac:dyDescent="0.25">
      <c r="A192" s="291">
        <v>12</v>
      </c>
      <c r="B192" s="534" t="s">
        <v>569</v>
      </c>
      <c r="C192" s="534"/>
      <c r="D192" s="534"/>
      <c r="E192" s="482">
        <v>1</v>
      </c>
      <c r="F192" s="483"/>
      <c r="G192" s="291" t="s">
        <v>309</v>
      </c>
      <c r="H192" s="291">
        <v>1</v>
      </c>
      <c r="I192" s="331">
        <v>24000</v>
      </c>
      <c r="J192" s="314">
        <f>H192*I192</f>
        <v>24000</v>
      </c>
    </row>
    <row r="193" spans="1:11" s="320" customFormat="1" ht="30.75" customHeight="1" x14ac:dyDescent="0.25">
      <c r="A193" s="291">
        <v>13</v>
      </c>
      <c r="B193" s="534" t="s">
        <v>640</v>
      </c>
      <c r="C193" s="534"/>
      <c r="D193" s="534"/>
      <c r="E193" s="482">
        <v>1</v>
      </c>
      <c r="F193" s="483"/>
      <c r="G193" s="291" t="s">
        <v>309</v>
      </c>
      <c r="H193" s="291">
        <v>1</v>
      </c>
      <c r="I193" s="331">
        <f>2900*12</f>
        <v>34800</v>
      </c>
      <c r="J193" s="314">
        <f>H193*I193</f>
        <v>34800</v>
      </c>
    </row>
    <row r="194" spans="1:11" s="316" customFormat="1" ht="29.25" customHeight="1" x14ac:dyDescent="0.25">
      <c r="A194" s="291">
        <v>14</v>
      </c>
      <c r="B194" s="534" t="s">
        <v>641</v>
      </c>
      <c r="C194" s="534"/>
      <c r="D194" s="534"/>
      <c r="E194" s="482">
        <v>4</v>
      </c>
      <c r="F194" s="483"/>
      <c r="G194" s="291" t="s">
        <v>309</v>
      </c>
      <c r="H194" s="291">
        <v>3</v>
      </c>
      <c r="I194" s="331">
        <v>5000</v>
      </c>
      <c r="J194" s="314">
        <f>H194*I194</f>
        <v>15000</v>
      </c>
    </row>
    <row r="195" spans="1:11" s="320" customFormat="1" ht="15.75" x14ac:dyDescent="0.25">
      <c r="A195" s="332"/>
      <c r="B195" s="685" t="s">
        <v>638</v>
      </c>
      <c r="C195" s="685"/>
      <c r="D195" s="685"/>
      <c r="E195" s="576" t="s">
        <v>14</v>
      </c>
      <c r="F195" s="577"/>
      <c r="G195" s="536">
        <f>SUM(J181:J192)</f>
        <v>2371000</v>
      </c>
      <c r="H195" s="537"/>
      <c r="I195" s="537"/>
      <c r="J195" s="537"/>
    </row>
    <row r="196" spans="1:11" s="320" customFormat="1" ht="15.75" x14ac:dyDescent="0.25">
      <c r="A196" s="332"/>
      <c r="B196" s="685" t="s">
        <v>612</v>
      </c>
      <c r="C196" s="685"/>
      <c r="D196" s="685"/>
      <c r="E196" s="576" t="s">
        <v>14</v>
      </c>
      <c r="F196" s="577"/>
      <c r="G196" s="536">
        <f>J193+J194</f>
        <v>49800</v>
      </c>
      <c r="H196" s="537"/>
      <c r="I196" s="537"/>
      <c r="J196" s="537"/>
    </row>
    <row r="197" spans="1:11" ht="15.75" x14ac:dyDescent="0.25">
      <c r="A197" s="569" t="s">
        <v>390</v>
      </c>
      <c r="B197" s="569"/>
      <c r="C197" s="569"/>
      <c r="D197" s="569"/>
      <c r="E197" s="569"/>
      <c r="F197" s="569"/>
      <c r="G197" s="569"/>
      <c r="H197" s="569"/>
      <c r="I197" s="569"/>
      <c r="J197" s="569"/>
    </row>
    <row r="198" spans="1:11" ht="25.5" x14ac:dyDescent="0.25">
      <c r="A198" s="288" t="s">
        <v>1</v>
      </c>
      <c r="B198" s="402" t="s">
        <v>44</v>
      </c>
      <c r="C198" s="402"/>
      <c r="D198" s="402"/>
      <c r="E198" s="402" t="s">
        <v>58</v>
      </c>
      <c r="F198" s="402"/>
      <c r="G198" s="402" t="s">
        <v>59</v>
      </c>
      <c r="H198" s="402"/>
      <c r="I198" s="402" t="s">
        <v>60</v>
      </c>
      <c r="J198" s="402"/>
    </row>
    <row r="199" spans="1:11" x14ac:dyDescent="0.25">
      <c r="A199" s="288">
        <v>1</v>
      </c>
      <c r="B199" s="402">
        <v>2</v>
      </c>
      <c r="C199" s="402"/>
      <c r="D199" s="402"/>
      <c r="E199" s="402">
        <v>3</v>
      </c>
      <c r="F199" s="402"/>
      <c r="G199" s="402">
        <v>4</v>
      </c>
      <c r="H199" s="402"/>
      <c r="I199" s="402">
        <v>5</v>
      </c>
      <c r="J199" s="402"/>
    </row>
    <row r="200" spans="1:11" x14ac:dyDescent="0.25">
      <c r="A200" s="299"/>
      <c r="B200" s="507" t="s">
        <v>13</v>
      </c>
      <c r="C200" s="507"/>
      <c r="D200" s="507"/>
      <c r="E200" s="508" t="s">
        <v>14</v>
      </c>
      <c r="F200" s="508"/>
      <c r="G200" s="508" t="s">
        <v>14</v>
      </c>
      <c r="H200" s="508"/>
      <c r="I200" s="508">
        <v>0</v>
      </c>
      <c r="J200" s="508"/>
    </row>
    <row r="201" spans="1:11" ht="15.75" x14ac:dyDescent="0.25">
      <c r="A201" s="434" t="s">
        <v>391</v>
      </c>
      <c r="B201" s="434"/>
      <c r="C201" s="434"/>
      <c r="D201" s="434"/>
      <c r="E201" s="434"/>
      <c r="F201" s="434"/>
      <c r="G201" s="434"/>
      <c r="H201" s="434"/>
      <c r="I201" s="434"/>
      <c r="J201" s="434"/>
    </row>
    <row r="202" spans="1:11" ht="25.5" x14ac:dyDescent="0.25">
      <c r="A202" s="288" t="s">
        <v>1</v>
      </c>
      <c r="B202" s="490" t="s">
        <v>15</v>
      </c>
      <c r="C202" s="491"/>
      <c r="D202" s="492"/>
      <c r="E202" s="490" t="s">
        <v>58</v>
      </c>
      <c r="F202" s="492"/>
      <c r="G202" s="490" t="s">
        <v>66</v>
      </c>
      <c r="H202" s="492"/>
      <c r="I202" s="490" t="s">
        <v>264</v>
      </c>
      <c r="J202" s="492"/>
    </row>
    <row r="203" spans="1:11" x14ac:dyDescent="0.25">
      <c r="A203" s="288">
        <v>1</v>
      </c>
      <c r="B203" s="490">
        <v>2</v>
      </c>
      <c r="C203" s="491"/>
      <c r="D203" s="492"/>
      <c r="E203" s="490">
        <v>3</v>
      </c>
      <c r="F203" s="492"/>
      <c r="G203" s="490">
        <v>4</v>
      </c>
      <c r="H203" s="492"/>
      <c r="I203" s="490">
        <v>5</v>
      </c>
      <c r="J203" s="492"/>
    </row>
    <row r="204" spans="1:11" s="93" customFormat="1" x14ac:dyDescent="0.25">
      <c r="A204" s="298" t="s">
        <v>70</v>
      </c>
      <c r="B204" s="498" t="s">
        <v>384</v>
      </c>
      <c r="C204" s="499"/>
      <c r="D204" s="500"/>
      <c r="E204" s="107"/>
      <c r="F204" s="107"/>
      <c r="G204" s="475"/>
      <c r="H204" s="476"/>
      <c r="I204" s="565">
        <f>I205+I206</f>
        <v>475000</v>
      </c>
      <c r="J204" s="564"/>
    </row>
    <row r="205" spans="1:11" s="93" customFormat="1" ht="15.75" x14ac:dyDescent="0.25">
      <c r="A205" s="367">
        <v>1</v>
      </c>
      <c r="B205" s="700" t="s">
        <v>642</v>
      </c>
      <c r="C205" s="701"/>
      <c r="D205" s="702"/>
      <c r="E205" s="703">
        <v>20</v>
      </c>
      <c r="F205" s="704"/>
      <c r="G205" s="688">
        <v>4000</v>
      </c>
      <c r="H205" s="689"/>
      <c r="I205" s="688">
        <f>E205*G205</f>
        <v>80000</v>
      </c>
      <c r="J205" s="689"/>
    </row>
    <row r="206" spans="1:11" s="93" customFormat="1" ht="54.75" customHeight="1" x14ac:dyDescent="0.25">
      <c r="A206" s="129">
        <v>2</v>
      </c>
      <c r="B206" s="705" t="s">
        <v>643</v>
      </c>
      <c r="C206" s="706"/>
      <c r="D206" s="707"/>
      <c r="E206" s="690" t="s">
        <v>74</v>
      </c>
      <c r="F206" s="691"/>
      <c r="G206" s="690" t="s">
        <v>74</v>
      </c>
      <c r="H206" s="691"/>
      <c r="I206" s="692">
        <v>395000</v>
      </c>
      <c r="J206" s="693"/>
    </row>
    <row r="207" spans="1:11" s="320" customFormat="1" ht="15.75" x14ac:dyDescent="0.25">
      <c r="A207" s="367"/>
      <c r="B207" s="708" t="s">
        <v>638</v>
      </c>
      <c r="C207" s="708"/>
      <c r="D207" s="708"/>
      <c r="E207" s="709"/>
      <c r="F207" s="709"/>
      <c r="G207" s="694"/>
      <c r="H207" s="694"/>
      <c r="I207" s="695">
        <f>I206+I205</f>
        <v>475000</v>
      </c>
      <c r="J207" s="695"/>
      <c r="K207" s="319"/>
    </row>
    <row r="208" spans="1:11" ht="15.75" x14ac:dyDescent="0.25">
      <c r="A208" s="540" t="s">
        <v>392</v>
      </c>
      <c r="B208" s="540"/>
      <c r="C208" s="540"/>
      <c r="D208" s="540"/>
      <c r="E208" s="540"/>
      <c r="F208" s="540"/>
      <c r="G208" s="540"/>
      <c r="H208" s="540"/>
      <c r="I208" s="540"/>
      <c r="J208" s="540"/>
    </row>
    <row r="209" spans="1:10" ht="15.75" x14ac:dyDescent="0.25">
      <c r="A209" s="593"/>
      <c r="B209" s="593"/>
      <c r="C209" s="593"/>
      <c r="D209" s="593"/>
      <c r="E209" s="593"/>
      <c r="F209" s="593"/>
      <c r="G209" s="593"/>
      <c r="H209" s="593"/>
      <c r="I209" s="593"/>
      <c r="J209" s="593"/>
    </row>
    <row r="210" spans="1:10" ht="25.5" x14ac:dyDescent="0.25">
      <c r="A210" s="288" t="s">
        <v>1</v>
      </c>
      <c r="B210" s="402" t="s">
        <v>15</v>
      </c>
      <c r="C210" s="402"/>
      <c r="D210" s="402"/>
      <c r="E210" s="402" t="s">
        <v>58</v>
      </c>
      <c r="F210" s="402"/>
      <c r="G210" s="402" t="s">
        <v>66</v>
      </c>
      <c r="H210" s="402"/>
      <c r="I210" s="402" t="s">
        <v>264</v>
      </c>
      <c r="J210" s="402"/>
    </row>
    <row r="211" spans="1:10" x14ac:dyDescent="0.25">
      <c r="A211" s="288">
        <v>1</v>
      </c>
      <c r="B211" s="402">
        <v>2</v>
      </c>
      <c r="C211" s="402"/>
      <c r="D211" s="402"/>
      <c r="E211" s="402">
        <v>3</v>
      </c>
      <c r="F211" s="402"/>
      <c r="G211" s="402">
        <v>4</v>
      </c>
      <c r="H211" s="402"/>
      <c r="I211" s="402">
        <v>5</v>
      </c>
      <c r="J211" s="402"/>
    </row>
    <row r="212" spans="1:10" s="46" customFormat="1" ht="15.75" x14ac:dyDescent="0.25">
      <c r="A212" s="562" t="s">
        <v>365</v>
      </c>
      <c r="B212" s="562"/>
      <c r="C212" s="562"/>
      <c r="D212" s="562"/>
      <c r="E212" s="562"/>
      <c r="F212" s="562"/>
      <c r="G212" s="562"/>
      <c r="H212" s="562"/>
      <c r="I212" s="562"/>
      <c r="J212" s="562"/>
    </row>
    <row r="213" spans="1:10" s="45" customFormat="1" x14ac:dyDescent="0.25">
      <c r="A213" s="298">
        <v>1</v>
      </c>
      <c r="B213" s="498" t="s">
        <v>646</v>
      </c>
      <c r="C213" s="499"/>
      <c r="D213" s="500"/>
      <c r="E213" s="107"/>
      <c r="F213" s="107"/>
      <c r="G213" s="475"/>
      <c r="H213" s="476"/>
      <c r="I213" s="563">
        <f>SUM(I214:J215)</f>
        <v>80000</v>
      </c>
      <c r="J213" s="564"/>
    </row>
    <row r="214" spans="1:10" s="46" customFormat="1" x14ac:dyDescent="0.25">
      <c r="A214" s="301" t="s">
        <v>27</v>
      </c>
      <c r="B214" s="555" t="s">
        <v>573</v>
      </c>
      <c r="C214" s="555"/>
      <c r="D214" s="555"/>
      <c r="E214" s="236"/>
      <c r="F214" s="237"/>
      <c r="G214" s="556"/>
      <c r="H214" s="556"/>
      <c r="I214" s="557">
        <v>40000</v>
      </c>
      <c r="J214" s="558"/>
    </row>
    <row r="215" spans="1:10" s="45" customFormat="1" x14ac:dyDescent="0.25">
      <c r="A215" s="301" t="s">
        <v>29</v>
      </c>
      <c r="B215" s="555" t="s">
        <v>574</v>
      </c>
      <c r="C215" s="555"/>
      <c r="D215" s="555"/>
      <c r="E215" s="236"/>
      <c r="F215" s="237"/>
      <c r="G215" s="556"/>
      <c r="H215" s="556"/>
      <c r="I215" s="557">
        <v>40000</v>
      </c>
      <c r="J215" s="558"/>
    </row>
    <row r="216" spans="1:10" s="45" customFormat="1" x14ac:dyDescent="0.25">
      <c r="A216" s="109"/>
      <c r="B216" s="507" t="s">
        <v>638</v>
      </c>
      <c r="C216" s="507"/>
      <c r="D216" s="507"/>
      <c r="E216" s="108"/>
      <c r="F216" s="300"/>
      <c r="G216" s="552"/>
      <c r="H216" s="552"/>
      <c r="I216" s="559">
        <f>I213</f>
        <v>80000</v>
      </c>
      <c r="J216" s="454"/>
    </row>
    <row r="217" spans="1:10" s="45" customFormat="1" ht="15.75" x14ac:dyDescent="0.25">
      <c r="A217" s="539" t="s">
        <v>393</v>
      </c>
      <c r="B217" s="539"/>
      <c r="C217" s="539"/>
      <c r="D217" s="539"/>
      <c r="E217" s="539"/>
      <c r="F217" s="539"/>
      <c r="G217" s="539"/>
      <c r="H217" s="539"/>
      <c r="I217" s="539"/>
      <c r="J217" s="539"/>
    </row>
    <row r="218" spans="1:10" x14ac:dyDescent="0.25">
      <c r="A218" s="523" t="s">
        <v>1</v>
      </c>
      <c r="B218" s="525" t="s">
        <v>15</v>
      </c>
      <c r="C218" s="526"/>
      <c r="D218" s="527"/>
      <c r="E218" s="525" t="s">
        <v>64</v>
      </c>
      <c r="F218" s="527"/>
      <c r="G218" s="402" t="s">
        <v>65</v>
      </c>
      <c r="H218" s="402"/>
      <c r="I218" s="402"/>
      <c r="J218" s="402"/>
    </row>
    <row r="219" spans="1:10" ht="25.5" x14ac:dyDescent="0.25">
      <c r="A219" s="524"/>
      <c r="B219" s="528"/>
      <c r="C219" s="529"/>
      <c r="D219" s="530"/>
      <c r="E219" s="528"/>
      <c r="F219" s="530"/>
      <c r="G219" s="288" t="s">
        <v>308</v>
      </c>
      <c r="H219" s="288" t="s">
        <v>305</v>
      </c>
      <c r="I219" s="288" t="s">
        <v>306</v>
      </c>
      <c r="J219" s="288" t="s">
        <v>307</v>
      </c>
    </row>
    <row r="220" spans="1:10" x14ac:dyDescent="0.25">
      <c r="A220" s="288">
        <v>1</v>
      </c>
      <c r="B220" s="402">
        <v>2</v>
      </c>
      <c r="C220" s="402"/>
      <c r="D220" s="402"/>
      <c r="E220" s="490">
        <v>3</v>
      </c>
      <c r="F220" s="492"/>
      <c r="G220" s="402">
        <v>4</v>
      </c>
      <c r="H220" s="402"/>
      <c r="I220" s="402"/>
      <c r="J220" s="402"/>
    </row>
    <row r="221" spans="1:10" s="320" customFormat="1" ht="28.5" customHeight="1" x14ac:dyDescent="0.25">
      <c r="A221" s="291">
        <v>1</v>
      </c>
      <c r="B221" s="534" t="s">
        <v>570</v>
      </c>
      <c r="C221" s="534"/>
      <c r="D221" s="534"/>
      <c r="E221" s="482">
        <v>1</v>
      </c>
      <c r="F221" s="483"/>
      <c r="G221" s="291" t="s">
        <v>309</v>
      </c>
      <c r="H221" s="291">
        <v>1</v>
      </c>
      <c r="I221" s="331">
        <v>48000</v>
      </c>
      <c r="J221" s="314">
        <f t="shared" ref="J221" si="9">H221*I221</f>
        <v>48000</v>
      </c>
    </row>
    <row r="222" spans="1:10" s="320" customFormat="1" ht="31.5" customHeight="1" x14ac:dyDescent="0.25">
      <c r="A222" s="291">
        <v>2</v>
      </c>
      <c r="B222" s="534" t="s">
        <v>571</v>
      </c>
      <c r="C222" s="534"/>
      <c r="D222" s="534"/>
      <c r="E222" s="482">
        <v>1</v>
      </c>
      <c r="F222" s="483"/>
      <c r="G222" s="291" t="s">
        <v>309</v>
      </c>
      <c r="H222" s="291">
        <v>1</v>
      </c>
      <c r="I222" s="331">
        <v>12000</v>
      </c>
      <c r="J222" s="314">
        <f>H222*I222</f>
        <v>12000</v>
      </c>
    </row>
    <row r="223" spans="1:10" s="320" customFormat="1" ht="31.5" customHeight="1" x14ac:dyDescent="0.25">
      <c r="A223" s="291">
        <v>3</v>
      </c>
      <c r="B223" s="534" t="s">
        <v>572</v>
      </c>
      <c r="C223" s="534"/>
      <c r="D223" s="534"/>
      <c r="E223" s="482">
        <v>1</v>
      </c>
      <c r="F223" s="483"/>
      <c r="G223" s="291" t="s">
        <v>309</v>
      </c>
      <c r="H223" s="291">
        <v>1</v>
      </c>
      <c r="I223" s="331">
        <v>8000</v>
      </c>
      <c r="J223" s="314">
        <f t="shared" ref="J223" si="10">H223*I223</f>
        <v>8000</v>
      </c>
    </row>
    <row r="224" spans="1:10" ht="15.75" x14ac:dyDescent="0.25">
      <c r="A224" s="106"/>
      <c r="B224" s="586" t="s">
        <v>13</v>
      </c>
      <c r="C224" s="586"/>
      <c r="D224" s="586"/>
      <c r="E224" s="587" t="s">
        <v>14</v>
      </c>
      <c r="F224" s="588"/>
      <c r="G224" s="589">
        <f>SUM(J221:J223)</f>
        <v>68000</v>
      </c>
      <c r="H224" s="590"/>
      <c r="I224" s="590"/>
      <c r="J224" s="590"/>
    </row>
    <row r="225" spans="1:11" x14ac:dyDescent="0.25">
      <c r="A225" s="93"/>
      <c r="B225" s="93"/>
      <c r="C225" s="93"/>
      <c r="D225" s="93"/>
      <c r="E225" s="93"/>
      <c r="F225" s="93"/>
      <c r="G225" s="93"/>
      <c r="H225" s="93"/>
      <c r="I225" s="93"/>
      <c r="J225" s="93"/>
    </row>
    <row r="226" spans="1:11" x14ac:dyDescent="0.25">
      <c r="A226" s="93"/>
      <c r="B226" s="93"/>
      <c r="C226" s="93"/>
      <c r="D226" s="93"/>
      <c r="E226" s="93"/>
      <c r="F226" s="93"/>
      <c r="G226" s="93"/>
      <c r="H226" s="110" t="s">
        <v>212</v>
      </c>
      <c r="I226" s="560">
        <f>I228+J229</f>
        <v>32191163.244880002</v>
      </c>
      <c r="J226" s="560"/>
    </row>
    <row r="227" spans="1:11" x14ac:dyDescent="0.25">
      <c r="A227" s="93"/>
      <c r="B227" s="93"/>
      <c r="C227" s="93"/>
      <c r="D227" s="93"/>
      <c r="E227" s="93"/>
      <c r="F227" s="93"/>
      <c r="G227" s="93"/>
      <c r="H227" s="111" t="s">
        <v>248</v>
      </c>
      <c r="I227" s="93"/>
      <c r="J227" s="93"/>
    </row>
    <row r="228" spans="1:11" x14ac:dyDescent="0.25">
      <c r="A228" s="93"/>
      <c r="B228" s="93"/>
      <c r="C228" s="93"/>
      <c r="D228" s="93"/>
      <c r="E228" s="93"/>
      <c r="F228" s="93"/>
      <c r="G228" s="93"/>
      <c r="H228" s="111" t="s">
        <v>644</v>
      </c>
      <c r="I228" s="561">
        <f>I216+I207+G195+G176+I155+I126+I86+J46+G224</f>
        <v>31691163.24272</v>
      </c>
      <c r="J228" s="561"/>
      <c r="K228" s="148"/>
    </row>
    <row r="229" spans="1:11" x14ac:dyDescent="0.25">
      <c r="A229" s="93"/>
      <c r="B229" s="93"/>
      <c r="C229" s="93"/>
      <c r="D229" s="93"/>
      <c r="E229" s="93"/>
      <c r="F229" s="93"/>
      <c r="G229" s="93"/>
      <c r="H229" s="111" t="s">
        <v>645</v>
      </c>
      <c r="I229" s="93"/>
      <c r="J229" s="126">
        <f>G196+I156+I87+I58+J47</f>
        <v>500000.00216000009</v>
      </c>
    </row>
    <row r="230" spans="1:11" s="119" customFormat="1" x14ac:dyDescent="0.25">
      <c r="A230" s="406" t="s">
        <v>514</v>
      </c>
      <c r="B230" s="406"/>
      <c r="C230" s="406"/>
      <c r="D230" s="116"/>
      <c r="E230" s="116"/>
      <c r="F230" s="117" t="s">
        <v>690</v>
      </c>
      <c r="G230" s="118"/>
      <c r="H230" s="118"/>
    </row>
    <row r="231" spans="1:11" s="119" customFormat="1" ht="12.75" x14ac:dyDescent="0.2">
      <c r="A231" s="120"/>
      <c r="B231" s="120"/>
      <c r="C231" s="120"/>
      <c r="D231" s="407" t="s">
        <v>281</v>
      </c>
      <c r="E231" s="407"/>
      <c r="F231" s="271" t="s">
        <v>282</v>
      </c>
      <c r="G231" s="271"/>
      <c r="H231" s="271"/>
    </row>
    <row r="232" spans="1:11" s="121" customFormat="1" x14ac:dyDescent="0.25">
      <c r="A232" s="406" t="s">
        <v>262</v>
      </c>
      <c r="B232" s="406"/>
      <c r="C232" s="406"/>
      <c r="D232" s="116"/>
      <c r="E232" s="116"/>
      <c r="F232" s="117" t="s">
        <v>509</v>
      </c>
      <c r="G232" s="117"/>
      <c r="H232" s="117"/>
    </row>
    <row r="233" spans="1:11" s="119" customFormat="1" ht="12.75" x14ac:dyDescent="0.2">
      <c r="A233" s="120"/>
      <c r="B233" s="120"/>
      <c r="C233" s="120"/>
      <c r="D233" s="407" t="s">
        <v>281</v>
      </c>
      <c r="E233" s="407"/>
      <c r="F233" s="271" t="s">
        <v>282</v>
      </c>
      <c r="G233" s="271"/>
      <c r="H233" s="271"/>
    </row>
    <row r="234" spans="1:11" s="121" customFormat="1" x14ac:dyDescent="0.25">
      <c r="A234" s="406" t="s">
        <v>374</v>
      </c>
      <c r="B234" s="406"/>
      <c r="C234" s="406"/>
      <c r="D234" s="116"/>
      <c r="E234" s="116"/>
      <c r="F234" s="117" t="s">
        <v>510</v>
      </c>
      <c r="G234" s="117"/>
      <c r="H234" s="117"/>
    </row>
    <row r="235" spans="1:11" x14ac:dyDescent="0.25">
      <c r="A235" s="47" t="s">
        <v>283</v>
      </c>
      <c r="B235" s="223" t="s">
        <v>578</v>
      </c>
      <c r="C235" s="286"/>
      <c r="D235" s="286"/>
      <c r="E235" s="286"/>
      <c r="F235" s="286"/>
      <c r="G235" s="45"/>
      <c r="H235" s="45"/>
      <c r="I235" s="45"/>
      <c r="J235" s="45"/>
    </row>
    <row r="236" spans="1:11" x14ac:dyDescent="0.25">
      <c r="A236" s="286"/>
      <c r="B236" s="286"/>
      <c r="C236" s="286"/>
      <c r="D236" s="286"/>
      <c r="E236" s="286"/>
      <c r="F236" s="286"/>
      <c r="G236" s="45"/>
      <c r="H236" s="45"/>
      <c r="I236" s="45"/>
      <c r="J236" s="45"/>
    </row>
    <row r="237" spans="1:11" x14ac:dyDescent="0.25">
      <c r="A237" s="392"/>
      <c r="B237" s="392"/>
      <c r="C237" s="286"/>
      <c r="D237" s="286"/>
      <c r="E237" s="286"/>
      <c r="F237" s="286"/>
      <c r="G237" s="45"/>
      <c r="H237" s="45"/>
      <c r="I237" s="45"/>
      <c r="J237" s="45"/>
    </row>
  </sheetData>
  <mergeCells count="487">
    <mergeCell ref="A1:J1"/>
    <mergeCell ref="A2:J2"/>
    <mergeCell ref="A3:J3"/>
    <mergeCell ref="A5:J5"/>
    <mergeCell ref="A8:J8"/>
    <mergeCell ref="A9:A11"/>
    <mergeCell ref="B9:B11"/>
    <mergeCell ref="C9:C11"/>
    <mergeCell ref="D9:G9"/>
    <mergeCell ref="H9:H11"/>
    <mergeCell ref="A17:J17"/>
    <mergeCell ref="A25:J25"/>
    <mergeCell ref="A28:J28"/>
    <mergeCell ref="A33:I33"/>
    <mergeCell ref="A34:I34"/>
    <mergeCell ref="A35:I35"/>
    <mergeCell ref="I9:I11"/>
    <mergeCell ref="J9:J11"/>
    <mergeCell ref="D10:D11"/>
    <mergeCell ref="E10:G10"/>
    <mergeCell ref="A13:J13"/>
    <mergeCell ref="A14:J14"/>
    <mergeCell ref="A36:J36"/>
    <mergeCell ref="A38:I38"/>
    <mergeCell ref="A39:B39"/>
    <mergeCell ref="A40:B40"/>
    <mergeCell ref="A41:J41"/>
    <mergeCell ref="B42:D42"/>
    <mergeCell ref="E42:F42"/>
    <mergeCell ref="G42:H42"/>
    <mergeCell ref="I42:J42"/>
    <mergeCell ref="B45:D45"/>
    <mergeCell ref="E45:F45"/>
    <mergeCell ref="G45:H45"/>
    <mergeCell ref="I45:J45"/>
    <mergeCell ref="A46:B46"/>
    <mergeCell ref="A47:B47"/>
    <mergeCell ref="B43:D43"/>
    <mergeCell ref="E43:F43"/>
    <mergeCell ref="G43:H43"/>
    <mergeCell ref="I43:J43"/>
    <mergeCell ref="B44:D44"/>
    <mergeCell ref="E44:F44"/>
    <mergeCell ref="G44:H44"/>
    <mergeCell ref="I44:J44"/>
    <mergeCell ref="A51:J51"/>
    <mergeCell ref="B52:D52"/>
    <mergeCell ref="E52:F52"/>
    <mergeCell ref="I52:J52"/>
    <mergeCell ref="A53:J53"/>
    <mergeCell ref="B54:D54"/>
    <mergeCell ref="E54:F54"/>
    <mergeCell ref="I54:J54"/>
    <mergeCell ref="A48:J48"/>
    <mergeCell ref="B49:D49"/>
    <mergeCell ref="E49:F49"/>
    <mergeCell ref="I49:J49"/>
    <mergeCell ref="B50:D50"/>
    <mergeCell ref="E50:F50"/>
    <mergeCell ref="I50:J50"/>
    <mergeCell ref="B58:D58"/>
    <mergeCell ref="E58:F58"/>
    <mergeCell ref="I58:J58"/>
    <mergeCell ref="A59:J59"/>
    <mergeCell ref="B60:D60"/>
    <mergeCell ref="E60:F60"/>
    <mergeCell ref="I60:J60"/>
    <mergeCell ref="A55:J55"/>
    <mergeCell ref="B56:D56"/>
    <mergeCell ref="E56:F56"/>
    <mergeCell ref="I56:J56"/>
    <mergeCell ref="B57:D57"/>
    <mergeCell ref="E57:F57"/>
    <mergeCell ref="I57:J57"/>
    <mergeCell ref="B63:D63"/>
    <mergeCell ref="E63:F63"/>
    <mergeCell ref="I63:J63"/>
    <mergeCell ref="A64:J64"/>
    <mergeCell ref="B65:F65"/>
    <mergeCell ref="G65:H65"/>
    <mergeCell ref="I65:J65"/>
    <mergeCell ref="B61:D61"/>
    <mergeCell ref="E61:F61"/>
    <mergeCell ref="I61:J61"/>
    <mergeCell ref="B62:D62"/>
    <mergeCell ref="E62:F62"/>
    <mergeCell ref="I62:J62"/>
    <mergeCell ref="B68:F68"/>
    <mergeCell ref="G68:H68"/>
    <mergeCell ref="I68:J68"/>
    <mergeCell ref="B69:F69"/>
    <mergeCell ref="G69:H69"/>
    <mergeCell ref="I69:J69"/>
    <mergeCell ref="B66:F66"/>
    <mergeCell ref="G66:H66"/>
    <mergeCell ref="I66:J66"/>
    <mergeCell ref="B67:F67"/>
    <mergeCell ref="G67:H67"/>
    <mergeCell ref="I67:J67"/>
    <mergeCell ref="B72:F72"/>
    <mergeCell ref="G72:H72"/>
    <mergeCell ref="I72:J72"/>
    <mergeCell ref="B73:F73"/>
    <mergeCell ref="G73:H73"/>
    <mergeCell ref="I73:J73"/>
    <mergeCell ref="B70:F70"/>
    <mergeCell ref="G70:H70"/>
    <mergeCell ref="I70:J70"/>
    <mergeCell ref="B71:F71"/>
    <mergeCell ref="G71:H71"/>
    <mergeCell ref="I71:J71"/>
    <mergeCell ref="B76:F76"/>
    <mergeCell ref="G76:H76"/>
    <mergeCell ref="I76:J76"/>
    <mergeCell ref="B77:F77"/>
    <mergeCell ref="G77:H77"/>
    <mergeCell ref="I77:J77"/>
    <mergeCell ref="B74:F74"/>
    <mergeCell ref="G74:H74"/>
    <mergeCell ref="I74:J74"/>
    <mergeCell ref="B75:F75"/>
    <mergeCell ref="G75:H75"/>
    <mergeCell ref="I75:J75"/>
    <mergeCell ref="B80:F80"/>
    <mergeCell ref="G80:H80"/>
    <mergeCell ref="I80:J80"/>
    <mergeCell ref="B81:F81"/>
    <mergeCell ref="G81:H81"/>
    <mergeCell ref="I81:J81"/>
    <mergeCell ref="B78:F78"/>
    <mergeCell ref="G78:H78"/>
    <mergeCell ref="I78:J78"/>
    <mergeCell ref="B79:F79"/>
    <mergeCell ref="G79:H79"/>
    <mergeCell ref="I79:J79"/>
    <mergeCell ref="B84:F84"/>
    <mergeCell ref="G84:H84"/>
    <mergeCell ref="I84:J84"/>
    <mergeCell ref="B85:F85"/>
    <mergeCell ref="G85:H85"/>
    <mergeCell ref="I85:J85"/>
    <mergeCell ref="B82:F82"/>
    <mergeCell ref="G82:H82"/>
    <mergeCell ref="I82:J82"/>
    <mergeCell ref="B83:F83"/>
    <mergeCell ref="G83:H83"/>
    <mergeCell ref="I83:J83"/>
    <mergeCell ref="K88:L88"/>
    <mergeCell ref="A89:J89"/>
    <mergeCell ref="A90:J90"/>
    <mergeCell ref="B86:F86"/>
    <mergeCell ref="G86:H86"/>
    <mergeCell ref="I86:J86"/>
    <mergeCell ref="B87:F87"/>
    <mergeCell ref="G87:H87"/>
    <mergeCell ref="I87:J87"/>
    <mergeCell ref="B93:D93"/>
    <mergeCell ref="E93:F93"/>
    <mergeCell ref="G93:H93"/>
    <mergeCell ref="I93:J93"/>
    <mergeCell ref="B94:D94"/>
    <mergeCell ref="E94:F94"/>
    <mergeCell ref="G94:H94"/>
    <mergeCell ref="I94:J94"/>
    <mergeCell ref="B88:F88"/>
    <mergeCell ref="G88:H88"/>
    <mergeCell ref="I88:J88"/>
    <mergeCell ref="B95:D95"/>
    <mergeCell ref="E95:F95"/>
    <mergeCell ref="G95:H95"/>
    <mergeCell ref="I95:J95"/>
    <mergeCell ref="A96:J96"/>
    <mergeCell ref="B99:D99"/>
    <mergeCell ref="E99:F99"/>
    <mergeCell ref="G99:H99"/>
    <mergeCell ref="I99:J99"/>
    <mergeCell ref="B100:D100"/>
    <mergeCell ref="E100:F100"/>
    <mergeCell ref="G100:H100"/>
    <mergeCell ref="I100:J100"/>
    <mergeCell ref="B101:D101"/>
    <mergeCell ref="E101:F101"/>
    <mergeCell ref="G101:H101"/>
    <mergeCell ref="I101:J101"/>
    <mergeCell ref="A102:J102"/>
    <mergeCell ref="K102:L102"/>
    <mergeCell ref="B107:D107"/>
    <mergeCell ref="E107:F107"/>
    <mergeCell ref="G107:H107"/>
    <mergeCell ref="I107:J107"/>
    <mergeCell ref="B108:D108"/>
    <mergeCell ref="E108:F108"/>
    <mergeCell ref="G108:H108"/>
    <mergeCell ref="I108:J108"/>
    <mergeCell ref="B105:D105"/>
    <mergeCell ref="E105:F105"/>
    <mergeCell ref="G105:H105"/>
    <mergeCell ref="I105:J105"/>
    <mergeCell ref="B106:D106"/>
    <mergeCell ref="E106:F106"/>
    <mergeCell ref="G106:H106"/>
    <mergeCell ref="I106:J106"/>
    <mergeCell ref="B114:D114"/>
    <mergeCell ref="E114:F114"/>
    <mergeCell ref="G114:H114"/>
    <mergeCell ref="I114:J114"/>
    <mergeCell ref="B115:D115"/>
    <mergeCell ref="E115:F115"/>
    <mergeCell ref="G115:H115"/>
    <mergeCell ref="I115:J115"/>
    <mergeCell ref="A109:J109"/>
    <mergeCell ref="B112:D112"/>
    <mergeCell ref="E112:F112"/>
    <mergeCell ref="G112:H112"/>
    <mergeCell ref="I112:J112"/>
    <mergeCell ref="B113:D113"/>
    <mergeCell ref="E113:F113"/>
    <mergeCell ref="G113:H113"/>
    <mergeCell ref="I113:J113"/>
    <mergeCell ref="B122:D122"/>
    <mergeCell ref="G122:H122"/>
    <mergeCell ref="I122:J122"/>
    <mergeCell ref="B123:D123"/>
    <mergeCell ref="G123:H123"/>
    <mergeCell ref="I123:J123"/>
    <mergeCell ref="A116:J116"/>
    <mergeCell ref="A119:J119"/>
    <mergeCell ref="B120:D120"/>
    <mergeCell ref="G120:H120"/>
    <mergeCell ref="I120:J120"/>
    <mergeCell ref="B121:D121"/>
    <mergeCell ref="G121:H121"/>
    <mergeCell ref="I121:J121"/>
    <mergeCell ref="B126:D126"/>
    <mergeCell ref="G126:H126"/>
    <mergeCell ref="I126:J126"/>
    <mergeCell ref="A128:J128"/>
    <mergeCell ref="B129:D129"/>
    <mergeCell ref="E129:F129"/>
    <mergeCell ref="G129:H129"/>
    <mergeCell ref="I129:J129"/>
    <mergeCell ref="B124:D124"/>
    <mergeCell ref="G124:H124"/>
    <mergeCell ref="I124:J124"/>
    <mergeCell ref="B125:D125"/>
    <mergeCell ref="G125:H125"/>
    <mergeCell ref="I125:J125"/>
    <mergeCell ref="B132:D132"/>
    <mergeCell ref="E132:F132"/>
    <mergeCell ref="G132:H132"/>
    <mergeCell ref="I132:J132"/>
    <mergeCell ref="A133:J133"/>
    <mergeCell ref="B134:D134"/>
    <mergeCell ref="F134:G134"/>
    <mergeCell ref="I134:J134"/>
    <mergeCell ref="B130:D130"/>
    <mergeCell ref="E130:F130"/>
    <mergeCell ref="G130:H130"/>
    <mergeCell ref="I130:J130"/>
    <mergeCell ref="B131:D131"/>
    <mergeCell ref="E131:F131"/>
    <mergeCell ref="G131:H131"/>
    <mergeCell ref="I131:J131"/>
    <mergeCell ref="B137:D137"/>
    <mergeCell ref="F137:G137"/>
    <mergeCell ref="I137:J137"/>
    <mergeCell ref="B138:D138"/>
    <mergeCell ref="F138:G138"/>
    <mergeCell ref="I138:J138"/>
    <mergeCell ref="B135:D135"/>
    <mergeCell ref="F135:G135"/>
    <mergeCell ref="I135:J135"/>
    <mergeCell ref="B136:D136"/>
    <mergeCell ref="F136:G136"/>
    <mergeCell ref="I136:J136"/>
    <mergeCell ref="B141:D141"/>
    <mergeCell ref="F141:G141"/>
    <mergeCell ref="I141:J141"/>
    <mergeCell ref="B142:D142"/>
    <mergeCell ref="F142:G142"/>
    <mergeCell ref="I142:J142"/>
    <mergeCell ref="B139:D139"/>
    <mergeCell ref="F139:G139"/>
    <mergeCell ref="I139:J139"/>
    <mergeCell ref="B140:D140"/>
    <mergeCell ref="F140:G140"/>
    <mergeCell ref="I140:J140"/>
    <mergeCell ref="B145:D145"/>
    <mergeCell ref="F145:G145"/>
    <mergeCell ref="I145:J145"/>
    <mergeCell ref="B146:D146"/>
    <mergeCell ref="F146:G146"/>
    <mergeCell ref="I146:J146"/>
    <mergeCell ref="B143:D143"/>
    <mergeCell ref="F143:G143"/>
    <mergeCell ref="I143:J143"/>
    <mergeCell ref="B144:D144"/>
    <mergeCell ref="F144:G144"/>
    <mergeCell ref="I144:J144"/>
    <mergeCell ref="B149:D149"/>
    <mergeCell ref="I149:J149"/>
    <mergeCell ref="B150:D150"/>
    <mergeCell ref="I150:J150"/>
    <mergeCell ref="B151:D151"/>
    <mergeCell ref="I151:J151"/>
    <mergeCell ref="B147:D147"/>
    <mergeCell ref="F147:G147"/>
    <mergeCell ref="I147:J147"/>
    <mergeCell ref="B148:D148"/>
    <mergeCell ref="F148:G148"/>
    <mergeCell ref="I148:J148"/>
    <mergeCell ref="B154:D154"/>
    <mergeCell ref="F154:G154"/>
    <mergeCell ref="I154:J154"/>
    <mergeCell ref="B155:D155"/>
    <mergeCell ref="F155:G155"/>
    <mergeCell ref="I155:J155"/>
    <mergeCell ref="B152:D152"/>
    <mergeCell ref="F152:G152"/>
    <mergeCell ref="I152:J152"/>
    <mergeCell ref="B153:D153"/>
    <mergeCell ref="F153:G153"/>
    <mergeCell ref="I153:J153"/>
    <mergeCell ref="B159:D159"/>
    <mergeCell ref="E159:F159"/>
    <mergeCell ref="G159:H159"/>
    <mergeCell ref="I159:J159"/>
    <mergeCell ref="B156:D156"/>
    <mergeCell ref="F156:G156"/>
    <mergeCell ref="I156:J156"/>
    <mergeCell ref="A157:J157"/>
    <mergeCell ref="B158:D158"/>
    <mergeCell ref="E158:F158"/>
    <mergeCell ref="G158:H158"/>
    <mergeCell ref="I158:J158"/>
    <mergeCell ref="B164:D164"/>
    <mergeCell ref="G164:J164"/>
    <mergeCell ref="B165:D165"/>
    <mergeCell ref="B166:D166"/>
    <mergeCell ref="B167:D167"/>
    <mergeCell ref="B168:D168"/>
    <mergeCell ref="B160:D160"/>
    <mergeCell ref="E160:F160"/>
    <mergeCell ref="G160:H160"/>
    <mergeCell ref="I160:J160"/>
    <mergeCell ref="A161:J161"/>
    <mergeCell ref="A162:A163"/>
    <mergeCell ref="B162:D163"/>
    <mergeCell ref="E162:E163"/>
    <mergeCell ref="F162:F163"/>
    <mergeCell ref="G162:J162"/>
    <mergeCell ref="B175:D175"/>
    <mergeCell ref="B176:D176"/>
    <mergeCell ref="G176:J176"/>
    <mergeCell ref="A177:J177"/>
    <mergeCell ref="A178:A179"/>
    <mergeCell ref="B178:D179"/>
    <mergeCell ref="E178:F179"/>
    <mergeCell ref="G178:J178"/>
    <mergeCell ref="B169:D169"/>
    <mergeCell ref="B170:D170"/>
    <mergeCell ref="B171:D171"/>
    <mergeCell ref="B172:D172"/>
    <mergeCell ref="B173:D173"/>
    <mergeCell ref="B174:D174"/>
    <mergeCell ref="B183:D183"/>
    <mergeCell ref="E183:F183"/>
    <mergeCell ref="B184:D184"/>
    <mergeCell ref="E184:F184"/>
    <mergeCell ref="B185:D185"/>
    <mergeCell ref="E185:F185"/>
    <mergeCell ref="B180:D180"/>
    <mergeCell ref="E180:F180"/>
    <mergeCell ref="G180:J180"/>
    <mergeCell ref="B181:D181"/>
    <mergeCell ref="E181:F181"/>
    <mergeCell ref="B182:D182"/>
    <mergeCell ref="E182:F182"/>
    <mergeCell ref="B189:D189"/>
    <mergeCell ref="E189:F189"/>
    <mergeCell ref="B190:D190"/>
    <mergeCell ref="E190:F190"/>
    <mergeCell ref="B191:D191"/>
    <mergeCell ref="E191:F191"/>
    <mergeCell ref="B186:D186"/>
    <mergeCell ref="E186:F186"/>
    <mergeCell ref="B187:D187"/>
    <mergeCell ref="E187:F187"/>
    <mergeCell ref="B188:D188"/>
    <mergeCell ref="E188:F188"/>
    <mergeCell ref="B195:D195"/>
    <mergeCell ref="E195:F195"/>
    <mergeCell ref="G195:J195"/>
    <mergeCell ref="B196:D196"/>
    <mergeCell ref="E196:F196"/>
    <mergeCell ref="G196:J196"/>
    <mergeCell ref="B192:D192"/>
    <mergeCell ref="E192:F192"/>
    <mergeCell ref="B193:D193"/>
    <mergeCell ref="E193:F193"/>
    <mergeCell ref="B194:D194"/>
    <mergeCell ref="E194:F194"/>
    <mergeCell ref="B200:D200"/>
    <mergeCell ref="E200:F200"/>
    <mergeCell ref="G200:H200"/>
    <mergeCell ref="I200:J200"/>
    <mergeCell ref="A197:J197"/>
    <mergeCell ref="B198:D198"/>
    <mergeCell ref="E198:F198"/>
    <mergeCell ref="G198:H198"/>
    <mergeCell ref="I198:J198"/>
    <mergeCell ref="B199:D199"/>
    <mergeCell ref="E199:F199"/>
    <mergeCell ref="G199:H199"/>
    <mergeCell ref="I199:J199"/>
    <mergeCell ref="B204:D204"/>
    <mergeCell ref="G204:H204"/>
    <mergeCell ref="I204:J204"/>
    <mergeCell ref="B205:D205"/>
    <mergeCell ref="E205:F205"/>
    <mergeCell ref="G205:H205"/>
    <mergeCell ref="I205:J205"/>
    <mergeCell ref="A201:J201"/>
    <mergeCell ref="B202:D202"/>
    <mergeCell ref="E202:F202"/>
    <mergeCell ref="G202:H202"/>
    <mergeCell ref="I202:J202"/>
    <mergeCell ref="B203:D203"/>
    <mergeCell ref="E203:F203"/>
    <mergeCell ref="G203:H203"/>
    <mergeCell ref="I203:J203"/>
    <mergeCell ref="A208:J208"/>
    <mergeCell ref="A209:J209"/>
    <mergeCell ref="B210:D210"/>
    <mergeCell ref="E210:F210"/>
    <mergeCell ref="G210:H210"/>
    <mergeCell ref="I210:J210"/>
    <mergeCell ref="B206:D206"/>
    <mergeCell ref="E206:F206"/>
    <mergeCell ref="G206:H206"/>
    <mergeCell ref="I206:J206"/>
    <mergeCell ref="B207:D207"/>
    <mergeCell ref="E207:F207"/>
    <mergeCell ref="G207:H207"/>
    <mergeCell ref="I207:J207"/>
    <mergeCell ref="B214:D214"/>
    <mergeCell ref="G214:H214"/>
    <mergeCell ref="I214:J214"/>
    <mergeCell ref="B215:D215"/>
    <mergeCell ref="G215:H215"/>
    <mergeCell ref="I215:J215"/>
    <mergeCell ref="B211:D211"/>
    <mergeCell ref="E211:F211"/>
    <mergeCell ref="G211:H211"/>
    <mergeCell ref="I211:J211"/>
    <mergeCell ref="A212:J212"/>
    <mergeCell ref="B213:D213"/>
    <mergeCell ref="G213:H213"/>
    <mergeCell ref="I213:J213"/>
    <mergeCell ref="B220:D220"/>
    <mergeCell ref="E220:F220"/>
    <mergeCell ref="G220:J220"/>
    <mergeCell ref="B221:D221"/>
    <mergeCell ref="E221:F221"/>
    <mergeCell ref="B222:D222"/>
    <mergeCell ref="E222:F222"/>
    <mergeCell ref="B216:D216"/>
    <mergeCell ref="G216:H216"/>
    <mergeCell ref="I216:J216"/>
    <mergeCell ref="A217:J217"/>
    <mergeCell ref="A218:A219"/>
    <mergeCell ref="B218:D219"/>
    <mergeCell ref="E218:F219"/>
    <mergeCell ref="G218:J218"/>
    <mergeCell ref="A237:B237"/>
    <mergeCell ref="I228:J228"/>
    <mergeCell ref="A230:C230"/>
    <mergeCell ref="D231:E231"/>
    <mergeCell ref="A232:C232"/>
    <mergeCell ref="D233:E233"/>
    <mergeCell ref="A234:C234"/>
    <mergeCell ref="B223:D223"/>
    <mergeCell ref="E223:F223"/>
    <mergeCell ref="B224:D224"/>
    <mergeCell ref="E224:F224"/>
    <mergeCell ref="G224:J224"/>
    <mergeCell ref="I226:J22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Титул лист</vt:lpstr>
      <vt:lpstr>Раздел 1</vt:lpstr>
      <vt:lpstr>Раздел 2</vt:lpstr>
      <vt:lpstr>расш МЗ 2020</vt:lpstr>
      <vt:lpstr>расш МЗ 2021</vt:lpstr>
      <vt:lpstr>расш МЗ 2022</vt:lpstr>
      <vt:lpstr>расш иные 2020</vt:lpstr>
      <vt:lpstr>расш иные 2021</vt:lpstr>
      <vt:lpstr>расш иные 2022</vt:lpstr>
      <vt:lpstr>расш ПДД 2020</vt:lpstr>
      <vt:lpstr>МЗ 2017 (3)</vt:lpstr>
      <vt:lpstr>расш ПДД 2021</vt:lpstr>
      <vt:lpstr>расш ПДД 2022</vt:lpstr>
      <vt:lpstr>'МЗ 2017 (3)'!Область_печати</vt:lpstr>
      <vt:lpstr>'Раздел 1'!Область_печати</vt:lpstr>
      <vt:lpstr>'Раздел 2'!Область_печати</vt:lpstr>
      <vt:lpstr>'расш иные 2020'!Область_печати</vt:lpstr>
      <vt:lpstr>'расш иные 2021'!Область_печати</vt:lpstr>
      <vt:lpstr>'расш иные 2022'!Область_печати</vt:lpstr>
      <vt:lpstr>'расш МЗ 2020'!Область_печати</vt:lpstr>
      <vt:lpstr>'расш МЗ 2021'!Область_печати</vt:lpstr>
      <vt:lpstr>'расш МЗ 2022'!Область_печати</vt:lpstr>
      <vt:lpstr>'расш ПДД 2020'!Область_печати</vt:lpstr>
      <vt:lpstr>'расш ПДД 2021'!Область_печати</vt:lpstr>
      <vt:lpstr>'расш ПДД 2022'!Область_печати</vt:lpstr>
      <vt:lpstr>'Титул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EKON3</dc:creator>
  <cp:lastModifiedBy>Пользователь</cp:lastModifiedBy>
  <cp:lastPrinted>2019-12-30T05:12:15Z</cp:lastPrinted>
  <dcterms:created xsi:type="dcterms:W3CDTF">2017-01-09T09:55:31Z</dcterms:created>
  <dcterms:modified xsi:type="dcterms:W3CDTF">2020-01-22T06:29:38Z</dcterms:modified>
</cp:coreProperties>
</file>